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showInkAnnotation="0" autoCompressPictures="0"/>
  <mc:AlternateContent xmlns:mc="http://schemas.openxmlformats.org/markup-compatibility/2006">
    <mc:Choice Requires="x15">
      <x15ac:absPath xmlns:x15ac="http://schemas.microsoft.com/office/spreadsheetml/2010/11/ac" url="/Users/iglika/Documents/Iglika's PIRD docs/Ongoing projects/Living Wage/2019 Metro Vancouver Living Wage/"/>
    </mc:Choice>
  </mc:AlternateContent>
  <xr:revisionPtr revIDLastSave="0" documentId="13_ncr:1_{1978378C-36C4-A949-8589-4CE12B39C268}" xr6:coauthVersionLast="43" xr6:coauthVersionMax="43" xr10:uidLastSave="{00000000-0000-0000-0000-000000000000}"/>
  <bookViews>
    <workbookView xWindow="360" yWindow="500" windowWidth="22580" windowHeight="19940" tabRatio="500" activeTab="1" xr2:uid="{00000000-000D-0000-FFFF-FFFF00000000}"/>
  </bookViews>
  <sheets>
    <sheet name="First time LW calculation" sheetId="1" r:id="rId1"/>
    <sheet name="Using last year's LW income" sheetId="2" r:id="rId2"/>
    <sheet name="Family expenses" sheetId="3" r:id="rId3"/>
  </sheets>
  <calcPr calcId="191029"/>
  <customWorkbookViews>
    <customWorkbookView name="Pamela Reaño - Personal View" guid="{AECF95C1-27BC-F14B-8EDE-44059DAFEC30}" mergeInterval="0" personalView="1" xWindow="227" yWindow="94" windowWidth="1507" windowHeight="938" tabRatio="500"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57" i="2" l="1"/>
  <c r="E26" i="2" l="1"/>
  <c r="C26" i="2" l="1"/>
  <c r="B26" i="2" s="1"/>
  <c r="B46" i="3" l="1"/>
  <c r="B17" i="2" l="1"/>
  <c r="B33" i="3"/>
  <c r="B25" i="3"/>
  <c r="J42" i="2" l="1"/>
  <c r="J41" i="2"/>
  <c r="J40" i="2"/>
  <c r="N26" i="2"/>
  <c r="B43" i="3" l="1"/>
  <c r="B42" i="3" l="1"/>
  <c r="B17" i="3"/>
  <c r="G31" i="1" l="1"/>
  <c r="G30" i="1"/>
  <c r="G28" i="1"/>
  <c r="H26" i="1"/>
  <c r="N34" i="2" l="1"/>
  <c r="N30" i="2"/>
  <c r="N31" i="2"/>
  <c r="N32" i="2"/>
  <c r="N33" i="2"/>
  <c r="G31" i="2" l="1"/>
  <c r="G30" i="2"/>
  <c r="G28" i="2"/>
  <c r="H26" i="2"/>
  <c r="B50" i="1" l="1"/>
  <c r="B53" i="1" s="1"/>
  <c r="C48" i="1"/>
  <c r="C50" i="1" s="1"/>
  <c r="C53" i="1" s="1"/>
  <c r="B24" i="3"/>
  <c r="B45" i="3"/>
  <c r="B50" i="2"/>
  <c r="C48" i="2"/>
  <c r="C50" i="2" s="1"/>
  <c r="C53" i="2" s="1"/>
  <c r="B59" i="3"/>
  <c r="B6" i="3"/>
  <c r="B11" i="3" s="1"/>
  <c r="B39" i="3" s="1"/>
  <c r="B16" i="1"/>
  <c r="C16" i="1" s="1"/>
  <c r="B34" i="3"/>
  <c r="B35" i="3" s="1"/>
  <c r="B16" i="2"/>
  <c r="C16" i="2" s="1"/>
  <c r="L28" i="2"/>
  <c r="L29" i="2" s="1"/>
  <c r="C27" i="2"/>
  <c r="C29" i="2"/>
  <c r="N27" i="2"/>
  <c r="B21" i="3"/>
  <c r="B27" i="3" s="1"/>
  <c r="L34" i="2"/>
  <c r="M29" i="2"/>
  <c r="M34" i="2"/>
  <c r="C27" i="1"/>
  <c r="C29" i="1"/>
  <c r="D47" i="2"/>
  <c r="D47" i="1"/>
  <c r="C32" i="2" l="1"/>
  <c r="B32" i="2" s="1"/>
  <c r="G49" i="2"/>
  <c r="C18" i="1"/>
  <c r="B18" i="1" s="1"/>
  <c r="D50" i="2"/>
  <c r="D64" i="2" s="1"/>
  <c r="C12" i="1"/>
  <c r="B12" i="1" s="1"/>
  <c r="C12" i="2"/>
  <c r="B12" i="2" s="1"/>
  <c r="B11" i="2"/>
  <c r="C11" i="2" s="1"/>
  <c r="I49" i="2"/>
  <c r="C10" i="2"/>
  <c r="B10" i="2" s="1"/>
  <c r="C10" i="1"/>
  <c r="B10" i="1" s="1"/>
  <c r="C19" i="1"/>
  <c r="B19" i="1" s="1"/>
  <c r="B47" i="3"/>
  <c r="I49" i="1"/>
  <c r="N28" i="2"/>
  <c r="N29" i="2"/>
  <c r="E28" i="2" s="1"/>
  <c r="C28" i="2" s="1"/>
  <c r="B28" i="2" s="1"/>
  <c r="B54" i="2"/>
  <c r="B53" i="2"/>
  <c r="C18" i="2"/>
  <c r="B18" i="2" s="1"/>
  <c r="C17" i="2"/>
  <c r="C52" i="2"/>
  <c r="C54" i="2"/>
  <c r="C52" i="1"/>
  <c r="C54" i="1"/>
  <c r="D50" i="1"/>
  <c r="B9" i="2"/>
  <c r="B9" i="1"/>
  <c r="C19" i="2"/>
  <c r="B54" i="1"/>
  <c r="J40" i="1" l="1"/>
  <c r="J41" i="1"/>
  <c r="J42" i="1"/>
  <c r="B11" i="1"/>
  <c r="C11" i="1" s="1"/>
  <c r="C55" i="1"/>
  <c r="C57" i="1"/>
  <c r="C15" i="2"/>
  <c r="B15" i="2" s="1"/>
  <c r="C15" i="1"/>
  <c r="D64" i="1"/>
  <c r="D54" i="1"/>
  <c r="E30" i="2"/>
  <c r="C30" i="2" s="1"/>
  <c r="B30" i="2" s="1"/>
  <c r="C55" i="2"/>
  <c r="E31" i="2"/>
  <c r="C31" i="2" s="1"/>
  <c r="B31" i="2" s="1"/>
  <c r="D53" i="1"/>
  <c r="C9" i="2"/>
  <c r="D53" i="2"/>
  <c r="C9" i="1"/>
  <c r="B19" i="2"/>
  <c r="D54" i="2"/>
  <c r="G49" i="1" l="1"/>
  <c r="B51" i="1" s="1"/>
  <c r="B52" i="1" s="1"/>
  <c r="C32" i="1"/>
  <c r="B32" i="1" s="1"/>
  <c r="B15" i="1"/>
  <c r="C33" i="2"/>
  <c r="D67" i="2" s="1"/>
  <c r="B51" i="2"/>
  <c r="B52" i="2" s="1"/>
  <c r="G50" i="2" s="1"/>
  <c r="C13" i="1"/>
  <c r="C14" i="1" s="1"/>
  <c r="C13" i="2"/>
  <c r="C14" i="2" s="1"/>
  <c r="D52" i="1" l="1"/>
  <c r="I50" i="1" s="1"/>
  <c r="G50" i="1"/>
  <c r="B55" i="1" s="1"/>
  <c r="D55" i="1" s="1"/>
  <c r="B57" i="1"/>
  <c r="D57" i="1" s="1"/>
  <c r="E28" i="1"/>
  <c r="C28" i="1" s="1"/>
  <c r="B28" i="1" s="1"/>
  <c r="E31" i="1"/>
  <c r="C31" i="1" s="1"/>
  <c r="B31" i="1" s="1"/>
  <c r="E26" i="1"/>
  <c r="C26" i="1" s="1"/>
  <c r="B26" i="1" s="1"/>
  <c r="E30" i="1"/>
  <c r="C30" i="1" s="1"/>
  <c r="B30" i="1" s="1"/>
  <c r="B33" i="2"/>
  <c r="B57" i="2"/>
  <c r="D57" i="2" s="1"/>
  <c r="B55" i="2"/>
  <c r="D55" i="2" s="1"/>
  <c r="D52" i="2"/>
  <c r="I50" i="2" s="1"/>
  <c r="C56" i="2" s="1"/>
  <c r="C58" i="2" s="1"/>
  <c r="C59" i="2" s="1"/>
  <c r="B13" i="2"/>
  <c r="B20" i="2" s="1"/>
  <c r="C20" i="2"/>
  <c r="D13" i="2" s="1"/>
  <c r="B13" i="1"/>
  <c r="C56" i="1"/>
  <c r="C58" i="1" s="1"/>
  <c r="C59" i="1" s="1"/>
  <c r="B17" i="1"/>
  <c r="C17" i="1" s="1"/>
  <c r="G51" i="1" l="1"/>
  <c r="B56" i="1" s="1"/>
  <c r="B58" i="1" s="1"/>
  <c r="B20" i="1"/>
  <c r="G51" i="2"/>
  <c r="B56" i="2" s="1"/>
  <c r="D65" i="2" s="1"/>
  <c r="D66" i="2" s="1"/>
  <c r="D68" i="2" s="1"/>
  <c r="D14" i="2"/>
  <c r="C40" i="2"/>
  <c r="D18" i="2"/>
  <c r="D20" i="2"/>
  <c r="D69" i="2"/>
  <c r="D11" i="2"/>
  <c r="D10" i="2"/>
  <c r="D12" i="2"/>
  <c r="D16" i="2"/>
  <c r="D15" i="2"/>
  <c r="D17" i="2"/>
  <c r="D19" i="2"/>
  <c r="D9" i="2"/>
  <c r="C33" i="1"/>
  <c r="D56" i="1"/>
  <c r="C20" i="1"/>
  <c r="D65" i="1"/>
  <c r="D66" i="1" s="1"/>
  <c r="D58" i="1" l="1"/>
  <c r="B59" i="1"/>
  <c r="D59" i="1" s="1"/>
  <c r="D56" i="2"/>
  <c r="B58" i="2"/>
  <c r="B59" i="2" s="1"/>
  <c r="D59" i="2" s="1"/>
  <c r="D18" i="1"/>
  <c r="D20" i="1"/>
  <c r="C40" i="1"/>
  <c r="D69" i="1"/>
  <c r="D10" i="1"/>
  <c r="D16" i="1"/>
  <c r="D11" i="1"/>
  <c r="D12" i="1"/>
  <c r="D19" i="1"/>
  <c r="D15" i="1"/>
  <c r="D9" i="1"/>
  <c r="D13" i="1"/>
  <c r="D14" i="1"/>
  <c r="D70" i="2"/>
  <c r="D17" i="1"/>
  <c r="B33" i="1"/>
  <c r="C39" i="1"/>
  <c r="D67" i="1"/>
  <c r="D68" i="1" s="1"/>
  <c r="D58" i="2" l="1"/>
  <c r="C39" i="2" s="1"/>
  <c r="C41" i="2" s="1"/>
  <c r="D70" i="1"/>
  <c r="C41" i="1"/>
</calcChain>
</file>

<file path=xl/sharedStrings.xml><?xml version="1.0" encoding="utf-8"?>
<sst xmlns="http://schemas.openxmlformats.org/spreadsheetml/2006/main" count="238" uniqueCount="139">
  <si>
    <t xml:space="preserve">      Two Parent, Two Children, Two Income Family</t>
  </si>
  <si>
    <t xml:space="preserve">        Children ages 4 and 7: 1 child in full-time child care, and 1 child in before and after school care and summer care. Family has a car and bus pass.</t>
    <phoneticPr fontId="0" type="noConversion"/>
  </si>
  <si>
    <t>Table I:  Family Expenses</t>
  </si>
  <si>
    <t>Item</t>
  </si>
  <si>
    <t>Monthly</t>
  </si>
  <si>
    <t>Annually</t>
  </si>
  <si>
    <t>% of Total</t>
  </si>
  <si>
    <t>Modified MBM</t>
  </si>
  <si>
    <t>Expenses</t>
  </si>
  <si>
    <t>Income</t>
  </si>
  <si>
    <t xml:space="preserve">    Food</t>
  </si>
  <si>
    <t xml:space="preserve">    Clothing and Footwear</t>
  </si>
  <si>
    <t xml:space="preserve">    Transportation</t>
  </si>
  <si>
    <t>Subtotal</t>
  </si>
  <si>
    <t>Child Care</t>
  </si>
  <si>
    <t>MSP</t>
  </si>
  <si>
    <t>Parent Education</t>
  </si>
  <si>
    <t>Total</t>
  </si>
  <si>
    <t>Table II:  Non-Wage Income (Government Transfers)</t>
  </si>
  <si>
    <t>Formula</t>
    <phoneticPr fontId="0" type="noConversion"/>
  </si>
  <si>
    <t>BR at FNI</t>
  </si>
  <si>
    <t>$0 at FNI</t>
  </si>
  <si>
    <t>Use BC Housing RAP calculator http://www.bchousing.org/Options/Rental_market/RAP/Calculator</t>
    <phoneticPr fontId="0" type="noConversion"/>
  </si>
  <si>
    <t>Table III:  Family Income Less Family Expenses</t>
  </si>
  <si>
    <t>Available Annual Income</t>
  </si>
  <si>
    <t>Child</t>
  </si>
  <si>
    <t>Max. Subs.</t>
  </si>
  <si>
    <t>Amt of Subs.</t>
  </si>
  <si>
    <t>Annual Family Expenses</t>
  </si>
  <si>
    <t>Gap</t>
  </si>
  <si>
    <t>Parent 1</t>
  </si>
  <si>
    <t>Parent 2</t>
  </si>
  <si>
    <t>Hours / Week</t>
  </si>
  <si>
    <t>Division of Income, Expenses, Tax Credits</t>
    <phoneticPr fontId="0" type="noConversion"/>
  </si>
  <si>
    <t>Wage</t>
  </si>
  <si>
    <t>Employment Income</t>
  </si>
  <si>
    <t>Adjustments</t>
  </si>
  <si>
    <t>CC Exp.</t>
  </si>
  <si>
    <t>Net Income</t>
  </si>
  <si>
    <t>Med. Exp.</t>
    <phoneticPr fontId="0" type="noConversion"/>
  </si>
  <si>
    <t>Tuition Exp.</t>
    <phoneticPr fontId="0" type="noConversion"/>
  </si>
  <si>
    <t>EI Premiums</t>
  </si>
  <si>
    <t>Ref. Med Exp. Supplement</t>
    <phoneticPr fontId="0" type="noConversion"/>
  </si>
  <si>
    <t>WITB</t>
    <phoneticPr fontId="0" type="noConversion"/>
  </si>
  <si>
    <t>CPP Premiums</t>
  </si>
  <si>
    <t>Fed. Income Tax</t>
  </si>
  <si>
    <t>Fed. Refundable TC</t>
    <phoneticPr fontId="0" type="noConversion"/>
  </si>
  <si>
    <t>Prov. Income Tax</t>
  </si>
  <si>
    <t>After Tax Income</t>
  </si>
  <si>
    <t>Monthly After Tax Inc.</t>
  </si>
  <si>
    <t>Total Annual Income from Employment</t>
  </si>
  <si>
    <t xml:space="preserve">  - EI, CPP, Fed. and Prov. Taxes</t>
  </si>
  <si>
    <t>Equals Family Take Home Pay</t>
  </si>
  <si>
    <t>Equals Total Disposable Family Income</t>
  </si>
  <si>
    <t xml:space="preserve">  - Family Expenses</t>
  </si>
  <si>
    <t>Equals Income less expenses</t>
  </si>
  <si>
    <t xml:space="preserve">        Children ages 4 and 7: 1 child in full-time child care, and 1 child in before and after school care and summer care. Family has a car and bus pass for one of the parents.</t>
    <phoneticPr fontId="2" type="noConversion"/>
  </si>
  <si>
    <t>Table IIa:  Last Year's Family Income (For Government Transfers)</t>
    <phoneticPr fontId="1" type="noConversion"/>
  </si>
  <si>
    <t>Formula</t>
  </si>
  <si>
    <t>Employment income</t>
    <phoneticPr fontId="1" type="noConversion"/>
  </si>
  <si>
    <t>Childcare expenses claimed</t>
    <phoneticPr fontId="1" type="noConversion"/>
  </si>
  <si>
    <t>Adjustments</t>
    <phoneticPr fontId="1" type="noConversion"/>
  </si>
  <si>
    <t>Net Income</t>
    <phoneticPr fontId="1" type="noConversion"/>
  </si>
  <si>
    <t>EI Premiums</t>
    <phoneticPr fontId="1" type="noConversion"/>
  </si>
  <si>
    <t>CPP Premiums</t>
    <phoneticPr fontId="1" type="noConversion"/>
  </si>
  <si>
    <t>Fed. Income Tax</t>
    <phoneticPr fontId="1" type="noConversion"/>
  </si>
  <si>
    <t>Prov. Income Tax</t>
    <phoneticPr fontId="1" type="noConversion"/>
  </si>
  <si>
    <t>After Tax Income</t>
    <phoneticPr fontId="1" type="noConversion"/>
  </si>
  <si>
    <t>Food:</t>
  </si>
  <si>
    <t>BC Average</t>
  </si>
  <si>
    <t>Monthly Food Cost:</t>
  </si>
  <si>
    <t>Annual Clothing Cost:</t>
  </si>
  <si>
    <t>Utilities - using BC provincial data 2007</t>
  </si>
  <si>
    <t>Transportation</t>
  </si>
  <si>
    <t>Annual Transportation Cost:</t>
  </si>
  <si>
    <t>75.4% of combined expense for Food and Clothing</t>
  </si>
  <si>
    <t>(calculated on spreadsheet)</t>
  </si>
  <si>
    <t>Annual Child Care Cost</t>
  </si>
  <si>
    <t>MSP Premiums</t>
  </si>
  <si>
    <t>Annual Parent Education Cost</t>
  </si>
  <si>
    <t>Median rent, 3+ bedroom apartment, CMHC</t>
  </si>
  <si>
    <t xml:space="preserve">Monthly Tenants insurance </t>
  </si>
  <si>
    <t>CPI 2007 Water, fuel and electricity - BC</t>
  </si>
  <si>
    <t>U-Pass for Student Parent - 8 months</t>
  </si>
  <si>
    <t>Summer programs, 1 month &amp; 2 weeks, school age</t>
  </si>
  <si>
    <t>Full-day care during winter &amp; spring school breaks, 3 weeks</t>
  </si>
  <si>
    <t>(eligibility for premium assistance calculated on spreadsheet)</t>
  </si>
  <si>
    <t>Student Fees (per semester)</t>
  </si>
  <si>
    <t>3-Credit courses at Douglas College (each)</t>
  </si>
  <si>
    <t>Textbook allowances - $125 per course</t>
  </si>
  <si>
    <t>1st threshold</t>
  </si>
  <si>
    <t>2nd threshold</t>
  </si>
  <si>
    <t>Use BC Housing RAP calculator http://www.bchousing.org/Options/Rental_market/RAP/Calculator</t>
  </si>
  <si>
    <t>Most of these amounts can be verified with CRA's Child and family benefits calculator http://www.cra-arc.gc.ca/bnfts/clcltr/cfbc-eng.html</t>
  </si>
  <si>
    <t>Monthly Internet service (cheapest available)</t>
  </si>
  <si>
    <t>Monthly cost for 2 cell phones (cheapest unlimited text &amp; talk plan)</t>
  </si>
  <si>
    <t xml:space="preserve">    Other Household Expenses</t>
  </si>
  <si>
    <t>Non MSP Health Expenses</t>
  </si>
  <si>
    <t>Other Household Expenses:</t>
  </si>
  <si>
    <t>Contingency Fund</t>
  </si>
  <si>
    <t>Fed. Refundable Tax Credits</t>
  </si>
  <si>
    <t>CPI 2017 Operation of Passenger Vehicles - BC</t>
  </si>
  <si>
    <t>Average monthly cost of food basket in BC - 2017</t>
  </si>
  <si>
    <t>No CCB at FNI</t>
  </si>
  <si>
    <t xml:space="preserve">    Shelter and telecommunications</t>
  </si>
  <si>
    <t>Shelter and telecommunications</t>
  </si>
  <si>
    <t>Monthly Shelter And Telecommunications Cost:</t>
  </si>
  <si>
    <t>BCLICATC: Jan to June</t>
  </si>
  <si>
    <t>BCLICATC: July to Dec</t>
  </si>
  <si>
    <t>2018 LW  Incomes</t>
  </si>
  <si>
    <t xml:space="preserve">  + CCTB, BC EETB, GST, RAP, BCLICATC</t>
  </si>
  <si>
    <t>7 (school year)</t>
  </si>
  <si>
    <t>7 (summer care)</t>
  </si>
  <si>
    <t>BC Affordable Child Care Benefit</t>
  </si>
  <si>
    <t>3rd threshold</t>
  </si>
  <si>
    <t>CPI 2017 Food - BC</t>
  </si>
  <si>
    <t>CPI 2018 Food - BC</t>
  </si>
  <si>
    <t>MBM 2017 - all community sizes</t>
  </si>
  <si>
    <t>Clothing and footwear:</t>
  </si>
  <si>
    <t>CPI 2017 Clothing and footwear - BC</t>
  </si>
  <si>
    <t>CPI 2018 Clothing and footwear - BC</t>
  </si>
  <si>
    <t>CPI 2018 Water, fuel and electricity - BC</t>
  </si>
  <si>
    <t>MBM 2017 - Transportation, BC rural (single car)</t>
  </si>
  <si>
    <t>CPI 2018 Operation of Passenger Vehicles - BC</t>
  </si>
  <si>
    <t>Public Transit Pass - 2 zone, 4 months</t>
  </si>
  <si>
    <t>Full time licensed group care, age 3-5, 12 months. Includes fee reduction ($100/mo).</t>
  </si>
  <si>
    <t xml:space="preserve">Pacific Blue Cross (extended health, drug, dental) - monthly </t>
  </si>
  <si>
    <t>Out of School Care, 10 months</t>
  </si>
  <si>
    <t>Table IV:  The Living Wage and Government Deductions and Taxes</t>
  </si>
  <si>
    <t>Table V:  Family Income less Gov't Deductions and Taxes plus Gov't Transfers</t>
  </si>
  <si>
    <t>Full-day care for 6 PD days (0 if the cost is already included in the fee for Out of School Care)</t>
  </si>
  <si>
    <t>These amounts can be verified with BC's Affordable Child Care Benefits Estimator https://myfamilyservices.gov.bc.ca/s/estimator</t>
  </si>
  <si>
    <t xml:space="preserve"> Living Wage Calculation: Vancouver - April 2019:  35 hrs/wk + 35 hrs/wk</t>
  </si>
  <si>
    <t>BC Early Childhood Tax Benefit</t>
  </si>
  <si>
    <t>GST Credit</t>
  </si>
  <si>
    <t>Rental Assistance Program (RAP)</t>
  </si>
  <si>
    <t>Health service delivery area average (weighted average of Fraser South, Fraser North, Vancouver, Richmond and North Shore/Coast Garibaldi weighted by the population of those HSDAs (North Van &amp; West Van-Bowen Island Local health areas only))</t>
  </si>
  <si>
    <t>Canada Child Benefit (CCB)</t>
  </si>
  <si>
    <t>Non-MSP Health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</si>
</sst>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quot;$&quot;#,##0;[Red]\-&quot;$&quot;#,##0"/>
    <numFmt numFmtId="165" formatCode="&quot;$&quot;#,##0.00;[Red]\-&quot;$&quot;#,##0.00"/>
    <numFmt numFmtId="166" formatCode="_-* #,##0.00_-;\-* #,##0.00_-;_-* &quot;-&quot;??_-;_-@_-"/>
    <numFmt numFmtId="167" formatCode="0.0%"/>
    <numFmt numFmtId="168" formatCode="0.000"/>
    <numFmt numFmtId="169" formatCode="0.0000"/>
    <numFmt numFmtId="170" formatCode="_(* #,##0_);_(* \(#,##0\);_(* &quot;-&quot;??_);_(@_)"/>
    <numFmt numFmtId="171" formatCode="&quot;$&quot;#,##0"/>
    <numFmt numFmtId="172" formatCode="&quot;$&quot;#,##0.00"/>
    <numFmt numFmtId="173" formatCode="_(* #,##0.0_);_(* \(#,##0.0\);_(* &quot;-&quot;??_);_(@_)"/>
  </numFmts>
  <fonts count="18" x14ac:knownFonts="1">
    <font>
      <sz val="10"/>
      <name val="Arial"/>
    </font>
    <font>
      <sz val="12"/>
      <color indexed="8"/>
      <name val="Calibri"/>
      <family val="2"/>
    </font>
    <font>
      <sz val="10"/>
      <name val="Arial"/>
      <family val="2"/>
    </font>
    <font>
      <sz val="14"/>
      <name val="Arial"/>
      <family val="2"/>
    </font>
    <font>
      <sz val="12"/>
      <name val="Arial"/>
      <family val="2"/>
    </font>
    <font>
      <b/>
      <sz val="12"/>
      <name val="Arial"/>
      <family val="2"/>
    </font>
    <font>
      <b/>
      <sz val="10"/>
      <name val="Arial"/>
      <family val="2"/>
    </font>
    <font>
      <b/>
      <sz val="8"/>
      <name val="Arial"/>
      <family val="2"/>
    </font>
    <font>
      <sz val="8"/>
      <name val="Arial"/>
      <family val="2"/>
    </font>
    <font>
      <sz val="10"/>
      <name val="Verdana"/>
      <family val="2"/>
    </font>
    <font>
      <b/>
      <sz val="8"/>
      <name val="Verdana"/>
      <family val="2"/>
    </font>
    <font>
      <b/>
      <sz val="10"/>
      <name val="Verdana"/>
      <family val="2"/>
    </font>
    <font>
      <sz val="11"/>
      <color rgb="FF000000"/>
      <name val="Verdana"/>
      <family val="2"/>
    </font>
    <font>
      <sz val="10"/>
      <color rgb="FF0000FF"/>
      <name val="Arial"/>
      <family val="2"/>
    </font>
    <font>
      <u/>
      <sz val="10"/>
      <color theme="10"/>
      <name val="Arial"/>
      <family val="2"/>
    </font>
    <font>
      <u/>
      <sz val="10"/>
      <color theme="11"/>
      <name val="Arial"/>
      <family val="2"/>
    </font>
    <font>
      <sz val="10"/>
      <name val="Verdana"/>
      <family val="2"/>
    </font>
    <font>
      <sz val="10"/>
      <name val="Verdana"/>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57">
    <xf numFmtId="0" fontId="0"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cellStyleXfs>
  <cellXfs count="199">
    <xf numFmtId="0" fontId="0" fillId="0" borderId="0" xfId="0"/>
    <xf numFmtId="0" fontId="3" fillId="0" borderId="0" xfId="0" applyFont="1"/>
    <xf numFmtId="0" fontId="2" fillId="0" borderId="0" xfId="0" applyFont="1"/>
    <xf numFmtId="0" fontId="4" fillId="0" borderId="0" xfId="0" applyFont="1"/>
    <xf numFmtId="17" fontId="5" fillId="0" borderId="0" xfId="0" applyNumberFormat="1" applyFont="1" applyAlignment="1">
      <alignment horizontal="right"/>
    </xf>
    <xf numFmtId="0" fontId="5" fillId="0" borderId="0" xfId="0" applyFont="1" applyAlignment="1">
      <alignment horizontal="left"/>
    </xf>
    <xf numFmtId="0" fontId="5" fillId="0" borderId="0" xfId="0" applyFont="1"/>
    <xf numFmtId="0" fontId="0" fillId="0" borderId="0" xfId="0" applyBorder="1"/>
    <xf numFmtId="0" fontId="6" fillId="0" borderId="0" xfId="0" applyFont="1" applyBorder="1" applyAlignment="1">
      <alignment horizontal="center"/>
    </xf>
    <xf numFmtId="0" fontId="6" fillId="0" borderId="0" xfId="0" applyFont="1" applyAlignment="1">
      <alignment horizontal="center"/>
    </xf>
    <xf numFmtId="0" fontId="6" fillId="0" borderId="0" xfId="0" applyFont="1"/>
    <xf numFmtId="167" fontId="0" fillId="0" borderId="0" xfId="2" applyNumberFormat="1" applyFont="1"/>
    <xf numFmtId="0" fontId="6" fillId="0" borderId="1" xfId="0" applyFont="1" applyBorder="1"/>
    <xf numFmtId="0" fontId="6" fillId="0" borderId="1" xfId="0" applyFont="1" applyBorder="1" applyAlignment="1">
      <alignment horizontal="center"/>
    </xf>
    <xf numFmtId="0" fontId="7" fillId="0" borderId="1" xfId="0" applyFont="1" applyBorder="1" applyAlignment="1">
      <alignment horizontal="center"/>
    </xf>
    <xf numFmtId="0" fontId="7" fillId="0" borderId="0" xfId="0" applyFont="1" applyBorder="1" applyAlignment="1">
      <alignment horizontal="right"/>
    </xf>
    <xf numFmtId="0" fontId="8" fillId="0" borderId="0" xfId="0" applyFont="1" applyBorder="1" applyAlignment="1">
      <alignment horizontal="left"/>
    </xf>
    <xf numFmtId="2" fontId="8" fillId="0" borderId="0" xfId="0" applyNumberFormat="1" applyFont="1" applyBorder="1" applyAlignment="1">
      <alignment horizontal="right"/>
    </xf>
    <xf numFmtId="0" fontId="6" fillId="0" borderId="0" xfId="0" applyFont="1" applyAlignment="1">
      <alignment horizontal="left"/>
    </xf>
    <xf numFmtId="0" fontId="9" fillId="0" borderId="1" xfId="0" applyFont="1" applyBorder="1"/>
    <xf numFmtId="2" fontId="9" fillId="0" borderId="1" xfId="0" applyNumberFormat="1" applyFont="1" applyBorder="1"/>
    <xf numFmtId="0" fontId="8" fillId="0" borderId="0" xfId="0" applyFont="1" applyBorder="1" applyAlignment="1">
      <alignment horizontal="right"/>
    </xf>
    <xf numFmtId="2" fontId="8" fillId="0" borderId="0" xfId="0" applyNumberFormat="1" applyFont="1" applyBorder="1" applyAlignment="1">
      <alignment horizontal="left"/>
    </xf>
    <xf numFmtId="2" fontId="0" fillId="0" borderId="0" xfId="0" applyNumberFormat="1" applyBorder="1"/>
    <xf numFmtId="2" fontId="0" fillId="0" borderId="0" xfId="0" applyNumberFormat="1"/>
    <xf numFmtId="0" fontId="0" fillId="0" borderId="0" xfId="0" applyAlignment="1">
      <alignment horizontal="left"/>
    </xf>
    <xf numFmtId="0" fontId="0" fillId="0" borderId="0" xfId="0" applyAlignment="1">
      <alignment horizontal="center"/>
    </xf>
    <xf numFmtId="167" fontId="8" fillId="0" borderId="1" xfId="2" applyNumberFormat="1" applyFont="1" applyBorder="1" applyAlignment="1">
      <alignment horizontal="center"/>
    </xf>
    <xf numFmtId="2" fontId="7" fillId="0" borderId="0" xfId="0" applyNumberFormat="1" applyFont="1" applyBorder="1" applyAlignment="1">
      <alignment horizontal="left"/>
    </xf>
    <xf numFmtId="2" fontId="7" fillId="0" borderId="0" xfId="0" applyNumberFormat="1" applyFont="1"/>
    <xf numFmtId="168" fontId="8" fillId="0" borderId="0" xfId="0" applyNumberFormat="1" applyFont="1" applyBorder="1" applyAlignment="1">
      <alignment horizontal="right"/>
    </xf>
    <xf numFmtId="169" fontId="8" fillId="0" borderId="0" xfId="0" applyNumberFormat="1" applyFont="1"/>
    <xf numFmtId="167" fontId="0" fillId="0" borderId="0" xfId="0" applyNumberFormat="1"/>
    <xf numFmtId="0" fontId="8" fillId="0" borderId="0" xfId="0" applyFont="1"/>
    <xf numFmtId="2" fontId="8" fillId="0" borderId="0" xfId="0" applyNumberFormat="1" applyFont="1"/>
    <xf numFmtId="168" fontId="8" fillId="0" borderId="0" xfId="0" applyNumberFormat="1" applyFont="1" applyBorder="1" applyAlignment="1">
      <alignment horizontal="left"/>
    </xf>
    <xf numFmtId="2" fontId="8" fillId="0" borderId="0" xfId="0" applyNumberFormat="1" applyFont="1" applyBorder="1"/>
    <xf numFmtId="167" fontId="0" fillId="0" borderId="0" xfId="2" applyNumberFormat="1" applyFont="1" applyBorder="1"/>
    <xf numFmtId="2" fontId="7" fillId="0" borderId="0" xfId="0" applyNumberFormat="1" applyFont="1" applyBorder="1"/>
    <xf numFmtId="0" fontId="10" fillId="0" borderId="1" xfId="0" applyFont="1" applyBorder="1"/>
    <xf numFmtId="167" fontId="7" fillId="0" borderId="1" xfId="2" applyNumberFormat="1" applyFont="1" applyBorder="1" applyAlignment="1">
      <alignment horizontal="center"/>
    </xf>
    <xf numFmtId="0" fontId="7" fillId="0" borderId="0" xfId="0" applyFont="1"/>
    <xf numFmtId="1" fontId="0" fillId="0" borderId="0" xfId="0" applyNumberFormat="1"/>
    <xf numFmtId="2" fontId="0" fillId="0" borderId="0" xfId="0" quotePrefix="1" applyNumberFormat="1" applyBorder="1"/>
    <xf numFmtId="2" fontId="7" fillId="0" borderId="0" xfId="0" quotePrefix="1" applyNumberFormat="1" applyFont="1" applyBorder="1" applyAlignment="1">
      <alignment horizontal="center"/>
    </xf>
    <xf numFmtId="2" fontId="7" fillId="0" borderId="0" xfId="0" applyNumberFormat="1" applyFont="1" applyBorder="1" applyAlignment="1">
      <alignment horizontal="center"/>
    </xf>
    <xf numFmtId="2" fontId="8" fillId="0" borderId="0" xfId="0" quotePrefix="1" applyNumberFormat="1" applyFont="1" applyBorder="1"/>
    <xf numFmtId="0" fontId="0" fillId="0" borderId="0" xfId="0" quotePrefix="1" applyFill="1" applyBorder="1"/>
    <xf numFmtId="0" fontId="0" fillId="0" borderId="0" xfId="0" quotePrefix="1"/>
    <xf numFmtId="0" fontId="2" fillId="0" borderId="0" xfId="0" applyFont="1" applyAlignment="1">
      <alignment horizontal="center"/>
    </xf>
    <xf numFmtId="167" fontId="6" fillId="0" borderId="0" xfId="2" applyNumberFormat="1" applyFont="1"/>
    <xf numFmtId="167" fontId="6" fillId="0" borderId="0" xfId="0" applyNumberFormat="1" applyFont="1"/>
    <xf numFmtId="0" fontId="6" fillId="0" borderId="1" xfId="0" applyFont="1" applyBorder="1" applyAlignment="1">
      <alignment horizontal="left"/>
    </xf>
    <xf numFmtId="0" fontId="7" fillId="0" borderId="0" xfId="0" applyFont="1" applyAlignment="1">
      <alignment horizontal="center"/>
    </xf>
    <xf numFmtId="0" fontId="7" fillId="0" borderId="0" xfId="0" applyFont="1" applyAlignment="1">
      <alignment horizontal="left"/>
    </xf>
    <xf numFmtId="0" fontId="8" fillId="0" borderId="0" xfId="0" applyFont="1" applyAlignment="1">
      <alignment horizontal="right"/>
    </xf>
    <xf numFmtId="43" fontId="8" fillId="0" borderId="0" xfId="1" applyFont="1"/>
    <xf numFmtId="170" fontId="8" fillId="0" borderId="0" xfId="1" applyNumberFormat="1" applyFont="1"/>
    <xf numFmtId="0" fontId="8" fillId="0" borderId="0" xfId="0" quotePrefix="1" applyFont="1" applyAlignment="1">
      <alignment horizontal="left"/>
    </xf>
    <xf numFmtId="170" fontId="0" fillId="0" borderId="0" xfId="0" applyNumberFormat="1"/>
    <xf numFmtId="0" fontId="7" fillId="0" borderId="0" xfId="0" quotePrefix="1" applyFont="1" applyAlignment="1">
      <alignment horizontal="center"/>
    </xf>
    <xf numFmtId="170" fontId="8" fillId="0" borderId="0" xfId="0" applyNumberFormat="1" applyFont="1"/>
    <xf numFmtId="2" fontId="8" fillId="0" borderId="0" xfId="0" quotePrefix="1" applyNumberFormat="1" applyFont="1"/>
    <xf numFmtId="2" fontId="6" fillId="0" borderId="0" xfId="0" applyNumberFormat="1" applyFont="1"/>
    <xf numFmtId="0" fontId="5" fillId="0" borderId="1" xfId="0" applyFont="1" applyBorder="1" applyAlignment="1">
      <alignment horizontal="center"/>
    </xf>
    <xf numFmtId="2" fontId="0" fillId="0" borderId="0" xfId="0" quotePrefix="1" applyNumberFormat="1"/>
    <xf numFmtId="2" fontId="7" fillId="0" borderId="1" xfId="0" applyNumberFormat="1" applyFont="1" applyBorder="1" applyAlignment="1">
      <alignment horizontal="center"/>
    </xf>
    <xf numFmtId="2" fontId="7" fillId="0" borderId="1" xfId="0" applyNumberFormat="1" applyFont="1" applyFill="1" applyBorder="1" applyAlignment="1">
      <alignment horizontal="center"/>
    </xf>
    <xf numFmtId="0" fontId="0" fillId="0" borderId="0" xfId="0" applyFill="1"/>
    <xf numFmtId="2" fontId="5" fillId="0" borderId="0" xfId="0" applyNumberFormat="1" applyFont="1"/>
    <xf numFmtId="2" fontId="6" fillId="0" borderId="0" xfId="0" applyNumberFormat="1" applyFont="1" applyAlignment="1">
      <alignment horizontal="center"/>
    </xf>
    <xf numFmtId="2" fontId="2" fillId="0" borderId="0" xfId="0" applyNumberFormat="1" applyFont="1"/>
    <xf numFmtId="2" fontId="9" fillId="0" borderId="1" xfId="0" applyNumberFormat="1" applyFont="1" applyFill="1" applyBorder="1" applyAlignment="1">
      <alignment horizontal="right"/>
    </xf>
    <xf numFmtId="0" fontId="11" fillId="0" borderId="1" xfId="0" applyFont="1" applyBorder="1"/>
    <xf numFmtId="0" fontId="8" fillId="0" borderId="1" xfId="0" applyFont="1" applyBorder="1"/>
    <xf numFmtId="171" fontId="8" fillId="0" borderId="1" xfId="0" applyNumberFormat="1" applyFont="1" applyBorder="1"/>
    <xf numFmtId="172" fontId="8" fillId="0" borderId="1" xfId="0" applyNumberFormat="1" applyFont="1" applyBorder="1"/>
    <xf numFmtId="0" fontId="0" fillId="0" borderId="0" xfId="0" applyBorder="1" applyAlignment="1">
      <alignment horizontal="center"/>
    </xf>
    <xf numFmtId="171" fontId="8" fillId="0" borderId="0" xfId="0" applyNumberFormat="1" applyFont="1" applyBorder="1"/>
    <xf numFmtId="0" fontId="8" fillId="0" borderId="0" xfId="0" applyFont="1" applyBorder="1"/>
    <xf numFmtId="0" fontId="2" fillId="0" borderId="0" xfId="0" quotePrefix="1" applyFont="1"/>
    <xf numFmtId="2" fontId="9" fillId="0" borderId="0" xfId="0" applyNumberFormat="1" applyFont="1" applyBorder="1"/>
    <xf numFmtId="0" fontId="9" fillId="0" borderId="0" xfId="0" applyFont="1"/>
    <xf numFmtId="2" fontId="9" fillId="0" borderId="0" xfId="0" applyNumberFormat="1" applyFont="1"/>
    <xf numFmtId="4" fontId="0" fillId="0" borderId="0" xfId="0" applyNumberFormat="1"/>
    <xf numFmtId="168" fontId="8" fillId="0" borderId="0" xfId="0" applyNumberFormat="1" applyFont="1" applyAlignment="1">
      <alignment horizontal="right"/>
    </xf>
    <xf numFmtId="4" fontId="6" fillId="0" borderId="0" xfId="0" applyNumberFormat="1" applyFont="1"/>
    <xf numFmtId="9" fontId="0" fillId="0" borderId="0" xfId="2" applyNumberFormat="1" applyFont="1"/>
    <xf numFmtId="17" fontId="11" fillId="0" borderId="0" xfId="0" applyNumberFormat="1" applyFont="1" applyAlignment="1">
      <alignment horizontal="right"/>
    </xf>
    <xf numFmtId="0" fontId="11" fillId="0" borderId="0" xfId="0" applyFont="1" applyAlignment="1">
      <alignment horizontal="left"/>
    </xf>
    <xf numFmtId="2" fontId="0" fillId="0" borderId="1" xfId="0" applyNumberFormat="1" applyBorder="1"/>
    <xf numFmtId="0" fontId="9" fillId="0" borderId="1" xfId="0" applyFont="1" applyFill="1" applyBorder="1"/>
    <xf numFmtId="2" fontId="7" fillId="0" borderId="0" xfId="0" quotePrefix="1" applyNumberFormat="1" applyFont="1" applyBorder="1"/>
    <xf numFmtId="0" fontId="9" fillId="2" borderId="1" xfId="0" applyFont="1" applyFill="1" applyBorder="1"/>
    <xf numFmtId="0" fontId="6" fillId="0" borderId="1" xfId="0" applyFont="1" applyFill="1" applyBorder="1" applyAlignment="1">
      <alignment horizontal="left"/>
    </xf>
    <xf numFmtId="0" fontId="6" fillId="0" borderId="1" xfId="0" applyFont="1" applyFill="1" applyBorder="1" applyAlignment="1">
      <alignment horizontal="center"/>
    </xf>
    <xf numFmtId="2" fontId="0" fillId="0" borderId="0" xfId="0" applyNumberFormat="1" applyAlignment="1">
      <alignment horizontal="center"/>
    </xf>
    <xf numFmtId="2" fontId="0" fillId="0" borderId="0" xfId="0" applyNumberFormat="1" applyBorder="1" applyAlignment="1">
      <alignment horizontal="center"/>
    </xf>
    <xf numFmtId="2" fontId="2" fillId="0" borderId="0" xfId="0" applyNumberFormat="1" applyFont="1" applyBorder="1"/>
    <xf numFmtId="0" fontId="6" fillId="0" borderId="0" xfId="0" applyFont="1" applyFill="1" applyAlignment="1">
      <alignment horizontal="center"/>
    </xf>
    <xf numFmtId="0" fontId="0" fillId="0" borderId="0" xfId="0" applyFill="1" applyAlignment="1">
      <alignment horizontal="center"/>
    </xf>
    <xf numFmtId="0" fontId="9" fillId="0" borderId="1" xfId="0" applyFont="1" applyFill="1" applyBorder="1" applyAlignment="1">
      <alignment horizontal="right"/>
    </xf>
    <xf numFmtId="0" fontId="2" fillId="0" borderId="0" xfId="0" applyFont="1" applyFill="1"/>
    <xf numFmtId="0" fontId="11" fillId="0" borderId="1" xfId="0" applyFont="1" applyFill="1" applyBorder="1"/>
    <xf numFmtId="168" fontId="8" fillId="0" borderId="0" xfId="0" applyNumberFormat="1" applyFont="1" applyFill="1" applyAlignment="1">
      <alignment horizontal="right"/>
    </xf>
    <xf numFmtId="0" fontId="8" fillId="0" borderId="0" xfId="0" applyFont="1" applyFill="1" applyAlignment="1">
      <alignment horizontal="right"/>
    </xf>
    <xf numFmtId="0" fontId="7" fillId="0" borderId="0" xfId="0" applyFont="1" applyFill="1"/>
    <xf numFmtId="2" fontId="8" fillId="0" borderId="0" xfId="0" applyNumberFormat="1" applyFont="1" applyFill="1"/>
    <xf numFmtId="0" fontId="0" fillId="0" borderId="0" xfId="0" applyFill="1" applyBorder="1"/>
    <xf numFmtId="2" fontId="0" fillId="0" borderId="0" xfId="0" applyNumberFormat="1" applyFill="1" applyBorder="1"/>
    <xf numFmtId="2" fontId="0" fillId="0" borderId="0" xfId="0" applyNumberFormat="1" applyFill="1"/>
    <xf numFmtId="0" fontId="5" fillId="0" borderId="0" xfId="0" applyFont="1" applyFill="1"/>
    <xf numFmtId="0" fontId="9" fillId="0" borderId="0" xfId="0" applyFont="1" applyFill="1"/>
    <xf numFmtId="2" fontId="9" fillId="0" borderId="0" xfId="0" applyNumberFormat="1" applyFont="1" applyFill="1"/>
    <xf numFmtId="0" fontId="9" fillId="0" borderId="0" xfId="0" applyFont="1" applyBorder="1"/>
    <xf numFmtId="0" fontId="11" fillId="0" borderId="0" xfId="0" applyFont="1"/>
    <xf numFmtId="0" fontId="9" fillId="0" borderId="0" xfId="0" applyFont="1" applyAlignment="1">
      <alignment wrapText="1"/>
    </xf>
    <xf numFmtId="0" fontId="9" fillId="3" borderId="0" xfId="0" applyFont="1" applyFill="1"/>
    <xf numFmtId="0" fontId="12" fillId="0" borderId="0" xfId="0" applyFont="1"/>
    <xf numFmtId="0" fontId="11" fillId="0" borderId="0" xfId="0" quotePrefix="1" applyFont="1"/>
    <xf numFmtId="0" fontId="9" fillId="0" borderId="0" xfId="0" quotePrefix="1" applyFont="1"/>
    <xf numFmtId="43" fontId="9" fillId="0" borderId="0" xfId="0" applyNumberFormat="1" applyFont="1"/>
    <xf numFmtId="167" fontId="9" fillId="0" borderId="0" xfId="2" applyNumberFormat="1" applyFont="1"/>
    <xf numFmtId="43" fontId="9" fillId="0" borderId="0" xfId="0" applyNumberFormat="1" applyFont="1" applyAlignment="1">
      <alignment wrapText="1"/>
    </xf>
    <xf numFmtId="167" fontId="9" fillId="0" borderId="0" xfId="2" applyNumberFormat="1" applyFont="1" applyAlignment="1">
      <alignment wrapText="1"/>
    </xf>
    <xf numFmtId="4" fontId="9" fillId="3" borderId="1" xfId="0" applyNumberFormat="1" applyFont="1" applyFill="1" applyBorder="1"/>
    <xf numFmtId="2" fontId="0" fillId="0" borderId="0" xfId="0" quotePrefix="1" applyNumberFormat="1" applyFill="1"/>
    <xf numFmtId="4" fontId="0" fillId="0" borderId="0" xfId="0" applyNumberFormat="1" applyFill="1"/>
    <xf numFmtId="4" fontId="9" fillId="0" borderId="1" xfId="0" applyNumberFormat="1" applyFont="1" applyBorder="1"/>
    <xf numFmtId="4" fontId="11" fillId="0" borderId="1" xfId="0" applyNumberFormat="1" applyFont="1" applyFill="1" applyBorder="1"/>
    <xf numFmtId="4" fontId="11" fillId="0" borderId="1" xfId="0" applyNumberFormat="1" applyFont="1" applyFill="1" applyBorder="1" applyAlignment="1">
      <alignment horizontal="center"/>
    </xf>
    <xf numFmtId="4" fontId="9" fillId="0" borderId="1" xfId="0" applyNumberFormat="1" applyFont="1" applyFill="1" applyBorder="1"/>
    <xf numFmtId="4" fontId="9" fillId="2" borderId="1" xfId="0" applyNumberFormat="1" applyFont="1" applyFill="1" applyBorder="1"/>
    <xf numFmtId="4" fontId="0" fillId="0" borderId="0" xfId="0" applyNumberFormat="1" applyBorder="1"/>
    <xf numFmtId="4" fontId="6" fillId="0" borderId="0" xfId="0" applyNumberFormat="1" applyFont="1" applyAlignment="1">
      <alignment horizontal="center"/>
    </xf>
    <xf numFmtId="4" fontId="6" fillId="0" borderId="1" xfId="0" applyNumberFormat="1" applyFont="1" applyBorder="1" applyAlignment="1">
      <alignment horizontal="center"/>
    </xf>
    <xf numFmtId="4" fontId="9" fillId="0" borderId="1" xfId="0" applyNumberFormat="1" applyFont="1" applyBorder="1" applyAlignment="1">
      <alignment horizontal="right"/>
    </xf>
    <xf numFmtId="4" fontId="9" fillId="0" borderId="1" xfId="0" applyNumberFormat="1" applyFont="1" applyFill="1" applyBorder="1" applyAlignment="1">
      <alignment horizontal="right"/>
    </xf>
    <xf numFmtId="4" fontId="11" fillId="0" borderId="1" xfId="0" applyNumberFormat="1" applyFont="1" applyBorder="1"/>
    <xf numFmtId="4" fontId="11" fillId="0" borderId="1" xfId="0" applyNumberFormat="1" applyFont="1" applyBorder="1" applyAlignment="1">
      <alignment horizontal="center"/>
    </xf>
    <xf numFmtId="166" fontId="9" fillId="0" borderId="0" xfId="0" applyNumberFormat="1" applyFont="1"/>
    <xf numFmtId="0" fontId="8" fillId="0" borderId="0" xfId="0" quotePrefix="1" applyFont="1" applyBorder="1"/>
    <xf numFmtId="0" fontId="13" fillId="0" borderId="0" xfId="0" applyFont="1"/>
    <xf numFmtId="170" fontId="8" fillId="0" borderId="0" xfId="0" applyNumberFormat="1" applyFont="1" applyFill="1"/>
    <xf numFmtId="4" fontId="9" fillId="0" borderId="0" xfId="0" applyNumberFormat="1" applyFont="1" applyBorder="1"/>
    <xf numFmtId="4" fontId="0" fillId="0" borderId="0" xfId="0" applyNumberFormat="1" applyAlignment="1">
      <alignment horizontal="center"/>
    </xf>
    <xf numFmtId="166" fontId="0" fillId="0" borderId="0" xfId="0" applyNumberFormat="1"/>
    <xf numFmtId="166" fontId="9" fillId="0" borderId="0" xfId="0" applyNumberFormat="1" applyFont="1" applyAlignment="1">
      <alignment wrapText="1"/>
    </xf>
    <xf numFmtId="0" fontId="0" fillId="0" borderId="0" xfId="0" applyFont="1"/>
    <xf numFmtId="2" fontId="11" fillId="0" borderId="1" xfId="0" applyNumberFormat="1" applyFont="1" applyFill="1" applyBorder="1"/>
    <xf numFmtId="172" fontId="8" fillId="0" borderId="0" xfId="0" quotePrefix="1" applyNumberFormat="1" applyFont="1"/>
    <xf numFmtId="172" fontId="0" fillId="0" borderId="0" xfId="0" quotePrefix="1" applyNumberFormat="1"/>
    <xf numFmtId="164" fontId="9" fillId="0" borderId="0" xfId="0" applyNumberFormat="1" applyFont="1"/>
    <xf numFmtId="164" fontId="0" fillId="0" borderId="0" xfId="0" applyNumberFormat="1"/>
    <xf numFmtId="165" fontId="9" fillId="0" borderId="0" xfId="0" applyNumberFormat="1" applyFont="1"/>
    <xf numFmtId="172" fontId="8" fillId="0" borderId="1" xfId="0" applyNumberFormat="1" applyFont="1" applyFill="1" applyBorder="1"/>
    <xf numFmtId="171" fontId="8" fillId="0" borderId="1" xfId="0" applyNumberFormat="1" applyFont="1" applyFill="1" applyBorder="1"/>
    <xf numFmtId="4" fontId="5" fillId="0" borderId="0" xfId="0" applyNumberFormat="1" applyFont="1" applyFill="1"/>
    <xf numFmtId="4" fontId="2" fillId="0" borderId="0" xfId="0" applyNumberFormat="1" applyFont="1"/>
    <xf numFmtId="4" fontId="8" fillId="0" borderId="0" xfId="0" applyNumberFormat="1" applyFont="1"/>
    <xf numFmtId="4" fontId="9" fillId="0" borderId="0" xfId="0" applyNumberFormat="1" applyFont="1" applyFill="1" applyBorder="1"/>
    <xf numFmtId="9" fontId="9" fillId="0" borderId="0" xfId="2" applyFont="1" applyAlignment="1">
      <alignment wrapText="1"/>
    </xf>
    <xf numFmtId="43" fontId="9" fillId="0" borderId="0" xfId="2" applyNumberFormat="1" applyFont="1" applyAlignment="1">
      <alignment wrapText="1"/>
    </xf>
    <xf numFmtId="0" fontId="9" fillId="3" borderId="0" xfId="0" applyFont="1" applyFill="1" applyAlignment="1">
      <alignment wrapText="1"/>
    </xf>
    <xf numFmtId="172" fontId="8" fillId="0" borderId="0" xfId="0" applyNumberFormat="1" applyFont="1"/>
    <xf numFmtId="3" fontId="7" fillId="0" borderId="1" xfId="1" applyNumberFormat="1" applyFont="1" applyBorder="1" applyAlignment="1">
      <alignment horizontal="center"/>
    </xf>
    <xf numFmtId="0" fontId="16" fillId="0" borderId="0" xfId="0" applyFont="1"/>
    <xf numFmtId="43" fontId="9" fillId="0" borderId="0" xfId="1" applyNumberFormat="1" applyFont="1" applyFill="1"/>
    <xf numFmtId="2" fontId="2" fillId="0" borderId="0" xfId="0" quotePrefix="1" applyNumberFormat="1" applyFont="1"/>
    <xf numFmtId="2" fontId="5" fillId="0" borderId="0" xfId="0" applyNumberFormat="1" applyFont="1" applyFill="1" applyAlignment="1">
      <alignment horizontal="left"/>
    </xf>
    <xf numFmtId="172" fontId="0" fillId="0" borderId="0" xfId="0" applyNumberFormat="1"/>
    <xf numFmtId="0" fontId="14" fillId="0" borderId="0" xfId="56"/>
    <xf numFmtId="0" fontId="7" fillId="0" borderId="5" xfId="0" applyFont="1" applyBorder="1" applyAlignment="1">
      <alignment horizontal="center"/>
    </xf>
    <xf numFmtId="0" fontId="6" fillId="0" borderId="3" xfId="0" applyFont="1" applyBorder="1" applyAlignment="1">
      <alignment horizontal="left"/>
    </xf>
    <xf numFmtId="0" fontId="6" fillId="0" borderId="4" xfId="0" applyFont="1" applyBorder="1" applyAlignment="1">
      <alignment horizontal="center"/>
    </xf>
    <xf numFmtId="0" fontId="0" fillId="0" borderId="2" xfId="0" applyBorder="1"/>
    <xf numFmtId="0" fontId="7" fillId="0" borderId="3" xfId="0" applyFont="1" applyBorder="1"/>
    <xf numFmtId="2" fontId="8" fillId="0" borderId="4" xfId="0" applyNumberFormat="1" applyFont="1" applyBorder="1"/>
    <xf numFmtId="2" fontId="2" fillId="0" borderId="2" xfId="0" applyNumberFormat="1" applyFont="1" applyBorder="1"/>
    <xf numFmtId="0" fontId="9" fillId="3" borderId="0" xfId="0" applyFont="1" applyFill="1" applyAlignment="1">
      <alignment horizontal="left" vertical="top" wrapText="1"/>
    </xf>
    <xf numFmtId="43" fontId="3" fillId="0" borderId="0" xfId="0" applyNumberFormat="1" applyFont="1"/>
    <xf numFmtId="43" fontId="4" fillId="0" borderId="0" xfId="0" applyNumberFormat="1" applyFont="1"/>
    <xf numFmtId="43" fontId="0" fillId="0" borderId="0" xfId="0" applyNumberFormat="1"/>
    <xf numFmtId="43" fontId="9" fillId="0" borderId="0" xfId="1" applyNumberFormat="1" applyFont="1"/>
    <xf numFmtId="43" fontId="9" fillId="3" borderId="0" xfId="1" applyNumberFormat="1" applyFont="1" applyFill="1"/>
    <xf numFmtId="43" fontId="11" fillId="0" borderId="0" xfId="1" applyNumberFormat="1" applyFont="1" applyFill="1"/>
    <xf numFmtId="43" fontId="11" fillId="0" borderId="0" xfId="1" applyNumberFormat="1" applyFont="1"/>
    <xf numFmtId="4" fontId="10" fillId="0" borderId="1" xfId="0" applyNumberFormat="1" applyFont="1" applyFill="1" applyBorder="1"/>
    <xf numFmtId="10" fontId="9" fillId="0" borderId="0" xfId="2" applyNumberFormat="1" applyFont="1" applyAlignment="1">
      <alignment wrapText="1"/>
    </xf>
    <xf numFmtId="0" fontId="0" fillId="0" borderId="0" xfId="2" applyNumberFormat="1" applyFont="1"/>
    <xf numFmtId="43" fontId="17" fillId="0" borderId="0" xfId="1" applyFont="1"/>
    <xf numFmtId="173" fontId="17" fillId="0" borderId="0" xfId="1" applyNumberFormat="1" applyFont="1"/>
    <xf numFmtId="0" fontId="8" fillId="0" borderId="6" xfId="0" applyFont="1" applyBorder="1" applyAlignment="1">
      <alignment horizontal="center"/>
    </xf>
    <xf numFmtId="0" fontId="8" fillId="0" borderId="7" xfId="0" applyFont="1" applyBorder="1" applyAlignment="1">
      <alignment horizontal="center"/>
    </xf>
    <xf numFmtId="2" fontId="8" fillId="0" borderId="3" xfId="0" applyNumberFormat="1" applyFont="1" applyBorder="1" applyAlignment="1">
      <alignment horizontal="center"/>
    </xf>
    <xf numFmtId="2" fontId="8" fillId="0" borderId="2" xfId="0" applyNumberFormat="1" applyFont="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2" xfId="0" applyFont="1" applyBorder="1" applyAlignment="1">
      <alignment horizontal="left"/>
    </xf>
  </cellXfs>
  <cellStyles count="57">
    <cellStyle name="Comma" xfId="1" builtinId="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cellStyle name="Normal" xfId="0" builtinId="0"/>
    <cellStyle name="Percent" xfId="2" builtinId="5"/>
    <cellStyle name="Percent 2" xfId="3" xr:uid="{00000000-0005-0000-0000-00003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548005</xdr:colOff>
      <xdr:row>4</xdr:row>
      <xdr:rowOff>20320</xdr:rowOff>
    </xdr:from>
    <xdr:to>
      <xdr:col>12</xdr:col>
      <xdr:colOff>508695</xdr:colOff>
      <xdr:row>14</xdr:row>
      <xdr:rowOff>30480</xdr:rowOff>
    </xdr:to>
    <xdr:sp macro="" textlink="">
      <xdr:nvSpPr>
        <xdr:cNvPr id="2" name="TextBox 1">
          <a:extLst>
            <a:ext uri="{FF2B5EF4-FFF2-40B4-BE49-F238E27FC236}">
              <a16:creationId xmlns:a16="http://schemas.microsoft.com/office/drawing/2014/main" id="{00000000-0008-0000-0000-000002000000}"/>
            </a:ext>
          </a:extLst>
        </xdr:cNvPr>
        <xdr:cNvSpPr txBox="1">
          <a:spLocks noChangeArrowheads="1"/>
        </xdr:cNvSpPr>
      </xdr:nvSpPr>
      <xdr:spPr bwMode="auto">
        <a:xfrm>
          <a:off x="5404485" y="873760"/>
          <a:ext cx="7601010" cy="2143760"/>
        </a:xfrm>
        <a:prstGeom prst="rect">
          <a:avLst/>
        </a:prstGeom>
        <a:solidFill>
          <a:srgbClr val="FFFFFF"/>
        </a:solidFill>
        <a:ln w="9525">
          <a:solidFill>
            <a:srgbClr val="BCBCBC"/>
          </a:solidFill>
          <a:miter lim="800000"/>
          <a:headEnd/>
          <a:tailEnd/>
        </a:ln>
      </xdr:spPr>
      <xdr:txBody>
        <a:bodyPr wrap="square" lIns="91440" tIns="45720" rIns="91440" bIns="45720" anchor="t" upright="1"/>
        <a:lstStyle/>
        <a:p>
          <a:pPr algn="l" rtl="0">
            <a:defRPr sz="1000"/>
          </a:pPr>
          <a:r>
            <a:rPr lang="en-US" sz="1000" b="0" i="0" u="none" strike="noStrike" baseline="0">
              <a:solidFill>
                <a:srgbClr val="000000"/>
              </a:solidFill>
              <a:latin typeface="Verdana"/>
              <a:ea typeface="Verdana"/>
              <a:cs typeface="Verdana"/>
            </a:rPr>
            <a:t>INSTRUCTIONS: </a:t>
          </a:r>
        </a:p>
        <a:p>
          <a:pPr algn="l" rtl="0">
            <a:defRPr sz="1000"/>
          </a:pPr>
          <a:endParaRPr lang="en-US" sz="1000" b="0" i="0" u="none" strike="noStrike" baseline="0">
            <a:solidFill>
              <a:srgbClr val="DD0806"/>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If this is the first time the living wage is being calculated for your municipality, use this spreadsheet tab which determines the government transfers for the family using this year's income. his spreadsheet includes family expenses for Metro Vancouver. To calculate your community's living wage, update the shaded cells in the "Family expenses" tab to reflect the actual costs of living in your community.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If previously calculated, use last year's living wage family income to determine the government transfers and subsidies that the family will be eligible for. This is how government transfers are calculated in practice, and this method was used for the Metro Vancouver </a:t>
          </a:r>
          <a:r>
            <a:rPr lang="en-US" sz="1000" b="0" i="0" u="none" strike="noStrike" baseline="0">
              <a:solidFill>
                <a:schemeClr val="tx1"/>
              </a:solidFill>
              <a:latin typeface="Verdana"/>
              <a:ea typeface="Verdana"/>
              <a:cs typeface="Verdana"/>
            </a:rPr>
            <a:t>2019 Living </a:t>
          </a:r>
          <a:r>
            <a:rPr lang="en-US" sz="1000" b="0" i="0" u="none" strike="noStrike" baseline="0">
              <a:solidFill>
                <a:srgbClr val="000000"/>
              </a:solidFill>
              <a:latin typeface="Verdana"/>
              <a:ea typeface="Verdana"/>
              <a:cs typeface="Verdana"/>
            </a:rPr>
            <a:t>Wage Update. Use the second tab in this spreadsheet, titled "Using last year's LW income" and enter the last year's family income in Table IIa. </a:t>
          </a:r>
        </a:p>
        <a:p>
          <a:pPr algn="l" rtl="0">
            <a:defRPr sz="1000"/>
          </a:pPr>
          <a:endParaRPr lang="en-US" sz="1000" b="0" i="0" u="none" strike="noStrike" baseline="0">
            <a:solidFill>
              <a:srgbClr val="000000"/>
            </a:solidFill>
            <a:latin typeface="Verdana"/>
            <a:ea typeface="Verdana"/>
            <a:cs typeface="Verdan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570865</xdr:colOff>
      <xdr:row>4</xdr:row>
      <xdr:rowOff>22860</xdr:rowOff>
    </xdr:from>
    <xdr:to>
      <xdr:col>11</xdr:col>
      <xdr:colOff>243020</xdr:colOff>
      <xdr:row>14</xdr:row>
      <xdr:rowOff>142240</xdr:rowOff>
    </xdr:to>
    <xdr:sp macro="" textlink="">
      <xdr:nvSpPr>
        <xdr:cNvPr id="2" name="TextBox 1">
          <a:extLst>
            <a:ext uri="{FF2B5EF4-FFF2-40B4-BE49-F238E27FC236}">
              <a16:creationId xmlns:a16="http://schemas.microsoft.com/office/drawing/2014/main" id="{00000000-0008-0000-0100-000002000000}"/>
            </a:ext>
          </a:extLst>
        </xdr:cNvPr>
        <xdr:cNvSpPr txBox="1">
          <a:spLocks noChangeArrowheads="1"/>
        </xdr:cNvSpPr>
      </xdr:nvSpPr>
      <xdr:spPr bwMode="auto">
        <a:xfrm>
          <a:off x="5427345" y="876300"/>
          <a:ext cx="7281995" cy="2252980"/>
        </a:xfrm>
        <a:prstGeom prst="rect">
          <a:avLst/>
        </a:prstGeom>
        <a:solidFill>
          <a:srgbClr val="FFFFFF"/>
        </a:solidFill>
        <a:ln w="9525">
          <a:solidFill>
            <a:srgbClr val="BCBCBC"/>
          </a:solidFill>
          <a:miter lim="800000"/>
          <a:headEnd/>
          <a:tailEnd/>
        </a:ln>
      </xdr:spPr>
      <xdr:txBody>
        <a:bodyPr wrap="square" lIns="91440" tIns="45720" rIns="91440" bIns="45720" anchor="t" upright="1"/>
        <a:lstStyle/>
        <a:p>
          <a:pPr algn="l" rtl="0">
            <a:lnSpc>
              <a:spcPts val="1100"/>
            </a:lnSpc>
            <a:defRPr sz="1000"/>
          </a:pPr>
          <a:r>
            <a:rPr lang="en-US" sz="1000" b="0" i="0" u="none" strike="noStrike" baseline="0">
              <a:solidFill>
                <a:srgbClr val="000000"/>
              </a:solidFill>
              <a:latin typeface="Verdana"/>
              <a:ea typeface="Verdana"/>
              <a:cs typeface="Verdana"/>
            </a:rPr>
            <a:t>INSTRUCTIONS: </a:t>
          </a:r>
        </a:p>
        <a:p>
          <a:pPr algn="l" rtl="0">
            <a:lnSpc>
              <a:spcPts val="1100"/>
            </a:lnSpc>
            <a:defRPr sz="1000"/>
          </a:pPr>
          <a:endParaRPr lang="en-US" sz="1000" b="0" i="0" u="none" strike="noStrike" baseline="0">
            <a:solidFill>
              <a:srgbClr val="DD0806"/>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If previously calculated, use last year's living wage family income to determine the government transfers and subsidies that the family will be eligible for. This is how government transfers are calculated in practice, and this method was used for the Metro Vancouver 2019 Living Wage Update. Use this spreadsheet tab for your calculation and enter last year's family income in Table IIa. This spreadsheet includes family expenses for Metro Vancouver. To calculate your community's living wage, update the shaded cells in the "Family expenses" tab to reflect the actual costs of living in your community. </a:t>
          </a:r>
        </a:p>
        <a:p>
          <a:pPr algn="l" rtl="0">
            <a:lnSpc>
              <a:spcPts val="1100"/>
            </a:lnSpc>
            <a:defRPr sz="1000"/>
          </a:pPr>
          <a:endParaRPr lang="en-US" sz="1000" b="0" i="0" u="none" strike="noStrike" baseline="0">
            <a:solidFill>
              <a:srgbClr val="000000"/>
            </a:solidFill>
            <a:latin typeface="Verdana"/>
            <a:ea typeface="Verdana"/>
            <a:cs typeface="Verdana"/>
          </a:endParaRPr>
        </a:p>
        <a:p>
          <a:pPr algn="l" rtl="0">
            <a:lnSpc>
              <a:spcPct val="100000"/>
            </a:lnSpc>
            <a:defRPr sz="1000"/>
          </a:pPr>
          <a:r>
            <a:rPr lang="en-US" sz="1000" b="0" i="0" u="none" strike="noStrike" baseline="0">
              <a:solidFill>
                <a:srgbClr val="000000"/>
              </a:solidFill>
              <a:latin typeface="Verdana"/>
              <a:ea typeface="Verdana"/>
              <a:cs typeface="Verdana"/>
            </a:rPr>
            <a:t>2. If this is the first time the living wage is being calculated for your municipality, use the first tab in this spreadsheet, titled "First time LW calculation," which determines the government transfers for the family using this year's income.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1222375</xdr:colOff>
      <xdr:row>4</xdr:row>
      <xdr:rowOff>73025</xdr:rowOff>
    </xdr:from>
    <xdr:to>
      <xdr:col>9</xdr:col>
      <xdr:colOff>589280</xdr:colOff>
      <xdr:row>13</xdr:row>
      <xdr:rowOff>111760</xdr:rowOff>
    </xdr:to>
    <xdr:sp macro="" textlink="">
      <xdr:nvSpPr>
        <xdr:cNvPr id="2" name="TextBox 1">
          <a:extLst>
            <a:ext uri="{FF2B5EF4-FFF2-40B4-BE49-F238E27FC236}">
              <a16:creationId xmlns:a16="http://schemas.microsoft.com/office/drawing/2014/main" id="{00000000-0008-0000-0200-000002000000}"/>
            </a:ext>
          </a:extLst>
        </xdr:cNvPr>
        <xdr:cNvSpPr txBox="1">
          <a:spLocks noChangeArrowheads="1"/>
        </xdr:cNvSpPr>
      </xdr:nvSpPr>
      <xdr:spPr bwMode="auto">
        <a:xfrm>
          <a:off x="6779895" y="926465"/>
          <a:ext cx="6621145" cy="1958975"/>
        </a:xfrm>
        <a:prstGeom prst="rect">
          <a:avLst/>
        </a:prstGeom>
        <a:solidFill>
          <a:srgbClr val="FFFFFF"/>
        </a:solidFill>
        <a:ln w="9525">
          <a:solidFill>
            <a:srgbClr val="BCBCBC"/>
          </a:solidFill>
          <a:miter lim="800000"/>
          <a:headEnd/>
          <a:tailEnd/>
        </a:ln>
      </xdr:spPr>
      <xdr:txBody>
        <a:bodyPr wrap="square" lIns="91440" tIns="45720" rIns="91440" bIns="45720" anchor="t" upright="1"/>
        <a:lstStyle/>
        <a:p>
          <a:pPr algn="l" rtl="0">
            <a:defRPr sz="1000"/>
          </a:pPr>
          <a:r>
            <a:rPr lang="en-US" sz="1000" b="0" i="0" u="none" strike="noStrike" baseline="0">
              <a:solidFill>
                <a:srgbClr val="000000"/>
              </a:solidFill>
              <a:latin typeface="Verdana"/>
              <a:ea typeface="Verdana"/>
              <a:cs typeface="Verdana"/>
            </a:rPr>
            <a:t>INSTRUCTIONS: </a:t>
          </a:r>
        </a:p>
        <a:p>
          <a:pPr algn="l" rtl="0">
            <a:lnSpc>
              <a:spcPct val="100000"/>
            </a:lnSpc>
            <a:defRPr sz="1000"/>
          </a:pPr>
          <a:endParaRPr lang="en-US" sz="1000" b="0" i="0" u="none" strike="noStrike" baseline="0">
            <a:solidFill>
              <a:srgbClr val="DD0806"/>
            </a:solidFill>
            <a:latin typeface="Verdana"/>
            <a:ea typeface="Verdana"/>
            <a:cs typeface="Verdana"/>
          </a:endParaRPr>
        </a:p>
        <a:p>
          <a:pPr algn="l" rtl="0">
            <a:lnSpc>
              <a:spcPct val="100000"/>
            </a:lnSpc>
            <a:defRPr sz="1000"/>
          </a:pPr>
          <a:r>
            <a:rPr lang="en-US" sz="1000" b="0" i="0" u="none" strike="noStrike" baseline="0">
              <a:solidFill>
                <a:srgbClr val="000000"/>
              </a:solidFill>
              <a:latin typeface="Verdana"/>
              <a:ea typeface="Verdana"/>
              <a:cs typeface="Verdana"/>
            </a:rPr>
            <a:t>1. The family expenses included in this spreadsheet follow the 2019 BC Living Wage Calculation Guide.</a:t>
          </a:r>
        </a:p>
        <a:p>
          <a:pPr algn="l" rtl="0">
            <a:lnSpc>
              <a:spcPct val="100000"/>
            </a:lnSpc>
            <a:defRPr sz="1000"/>
          </a:pPr>
          <a:endParaRPr lang="en-US" sz="1000" b="0" i="0" u="none" strike="noStrike" baseline="0">
            <a:solidFill>
              <a:srgbClr val="000000"/>
            </a:solidFill>
            <a:latin typeface="Verdana"/>
            <a:ea typeface="Verdana"/>
            <a:cs typeface="Verdana"/>
          </a:endParaRPr>
        </a:p>
        <a:p>
          <a:pPr algn="l" rtl="0">
            <a:lnSpc>
              <a:spcPct val="100000"/>
            </a:lnSpc>
            <a:defRPr sz="1000"/>
          </a:pPr>
          <a:r>
            <a:rPr lang="en-US" sz="1000" b="0" i="0" u="none" strike="noStrike" baseline="0">
              <a:solidFill>
                <a:srgbClr val="000000"/>
              </a:solidFill>
              <a:latin typeface="Verdana"/>
              <a:ea typeface="Verdana"/>
              <a:cs typeface="Verdana"/>
            </a:rPr>
            <a:t>2. Shaded cells need to be updated with the costs of these items in your community. Cells that are not shaded contain provincial-level data and do not need to be changed.</a:t>
          </a:r>
        </a:p>
        <a:p>
          <a:pPr algn="l" rtl="0">
            <a:lnSpc>
              <a:spcPct val="100000"/>
            </a:lnSpc>
            <a:defRPr sz="1000"/>
          </a:pPr>
          <a:endParaRPr lang="en-US" sz="1000" b="0" i="0" u="none" strike="noStrike" baseline="0">
            <a:solidFill>
              <a:srgbClr val="000000"/>
            </a:solidFill>
            <a:latin typeface="Verdana"/>
            <a:ea typeface="Verdana"/>
            <a:cs typeface="Verdana"/>
          </a:endParaRPr>
        </a:p>
        <a:p>
          <a:pPr algn="l" rtl="0">
            <a:lnSpc>
              <a:spcPct val="100000"/>
            </a:lnSpc>
            <a:defRPr sz="1000"/>
          </a:pPr>
          <a:r>
            <a:rPr lang="en-US" sz="1000" b="0" i="0" u="none" strike="noStrike" baseline="0">
              <a:solidFill>
                <a:srgbClr val="000000"/>
              </a:solidFill>
              <a:latin typeface="Verdana"/>
              <a:ea typeface="Verdana"/>
              <a:cs typeface="Verdana"/>
            </a:rPr>
            <a:t>3. It is important to not delete any rows in this spreadsheet, as some cells are linked to calculations in the other two tabs of the spreadsheet. If a particular expense does not apply in your community, set its cost to 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4"/>
  <sheetViews>
    <sheetView topLeftCell="A48" zoomScale="125" zoomScaleNormal="125" zoomScalePageLayoutView="125" workbookViewId="0">
      <selection activeCell="M30" sqref="M30"/>
    </sheetView>
  </sheetViews>
  <sheetFormatPr baseColWidth="10" defaultColWidth="12.5" defaultRowHeight="17" customHeight="1" x14ac:dyDescent="0.15"/>
  <cols>
    <col min="1" max="1" width="31.5" customWidth="1"/>
  </cols>
  <sheetData>
    <row r="1" spans="1:28" ht="17" customHeight="1" x14ac:dyDescent="0.2">
      <c r="A1" s="1" t="s">
        <v>132</v>
      </c>
      <c r="B1" s="1"/>
      <c r="C1" s="142"/>
      <c r="D1" s="2"/>
      <c r="E1" s="2"/>
      <c r="F1" s="2"/>
      <c r="G1" s="2"/>
      <c r="H1" s="2"/>
      <c r="I1" s="2"/>
    </row>
    <row r="2" spans="1:28" s="3" customFormat="1" ht="17" customHeight="1" x14ac:dyDescent="0.2">
      <c r="B2" s="3" t="s">
        <v>0</v>
      </c>
      <c r="D2" s="4"/>
      <c r="E2" s="5"/>
    </row>
    <row r="3" spans="1:28" ht="17" customHeight="1" x14ac:dyDescent="0.2">
      <c r="A3" s="2" t="s">
        <v>1</v>
      </c>
      <c r="C3" s="3"/>
      <c r="D3" s="4"/>
      <c r="E3" s="5"/>
      <c r="F3" s="3"/>
      <c r="G3" s="3"/>
      <c r="H3" s="3"/>
      <c r="I3" s="3"/>
      <c r="J3" s="3"/>
    </row>
    <row r="4" spans="1:28" ht="17" customHeight="1" x14ac:dyDescent="0.2">
      <c r="A4" s="3"/>
      <c r="B4" s="2"/>
      <c r="C4" s="3"/>
      <c r="D4" s="4"/>
      <c r="E4" s="5"/>
      <c r="F4" s="3"/>
      <c r="G4" s="3"/>
      <c r="H4" s="3"/>
      <c r="I4" s="3"/>
      <c r="J4" s="3"/>
    </row>
    <row r="5" spans="1:28" ht="17" customHeight="1" x14ac:dyDescent="0.2">
      <c r="A5" s="6" t="s">
        <v>2</v>
      </c>
    </row>
    <row r="6" spans="1:28" ht="17" customHeight="1" x14ac:dyDescent="0.2">
      <c r="C6" s="6"/>
      <c r="F6" s="7"/>
      <c r="G6" s="7"/>
      <c r="H6" s="7"/>
      <c r="I6" s="7"/>
      <c r="J6" s="8"/>
      <c r="L6" s="9"/>
      <c r="M6" s="10"/>
      <c r="N6" s="10"/>
      <c r="O6" s="10"/>
      <c r="P6" s="10"/>
      <c r="Q6" s="10"/>
      <c r="S6" s="11"/>
    </row>
    <row r="7" spans="1:28" ht="17" customHeight="1" x14ac:dyDescent="0.15">
      <c r="A7" s="12" t="s">
        <v>3</v>
      </c>
      <c r="B7" s="13" t="s">
        <v>4</v>
      </c>
      <c r="C7" s="13" t="s">
        <v>5</v>
      </c>
      <c r="D7" s="14" t="s">
        <v>6</v>
      </c>
      <c r="F7" s="15"/>
      <c r="G7" s="8"/>
      <c r="H7" s="16"/>
      <c r="I7" s="17"/>
      <c r="J7" s="8"/>
      <c r="L7" s="18"/>
      <c r="P7" s="9"/>
      <c r="Q7" s="10"/>
      <c r="R7" s="10"/>
      <c r="S7" s="10"/>
      <c r="T7" s="10"/>
      <c r="U7" s="10"/>
      <c r="W7" s="9"/>
      <c r="X7" s="10"/>
      <c r="Y7" s="10"/>
      <c r="Z7" s="10"/>
      <c r="AA7" s="10"/>
      <c r="AB7" s="10"/>
    </row>
    <row r="8" spans="1:28" ht="17" customHeight="1" x14ac:dyDescent="0.15">
      <c r="A8" s="19" t="s">
        <v>7</v>
      </c>
      <c r="B8" s="20"/>
      <c r="C8" s="20"/>
      <c r="D8" s="14" t="s">
        <v>8</v>
      </c>
      <c r="F8" s="21"/>
      <c r="H8" s="22"/>
      <c r="I8" s="17"/>
      <c r="J8" s="23"/>
      <c r="K8" s="24"/>
      <c r="L8" s="25"/>
      <c r="M8" s="24"/>
      <c r="P8" s="26"/>
      <c r="W8" s="26"/>
    </row>
    <row r="9" spans="1:28" ht="17" customHeight="1" x14ac:dyDescent="0.15">
      <c r="A9" s="19" t="s">
        <v>10</v>
      </c>
      <c r="B9" s="131">
        <f>'Family expenses'!B11</f>
        <v>882.22721186348269</v>
      </c>
      <c r="C9" s="131">
        <f>B9*12</f>
        <v>10586.726542361792</v>
      </c>
      <c r="D9" s="27">
        <f>C9/C20</f>
        <v>0.13923178003902884</v>
      </c>
      <c r="F9" s="21"/>
      <c r="G9" s="23"/>
      <c r="H9" s="28"/>
      <c r="I9" s="29"/>
      <c r="J9" s="8"/>
      <c r="K9" s="24"/>
      <c r="L9" s="25"/>
      <c r="M9" s="24"/>
      <c r="P9" s="26"/>
      <c r="T9" s="11"/>
      <c r="W9" s="26"/>
      <c r="AA9" s="11"/>
    </row>
    <row r="10" spans="1:28" ht="17" customHeight="1" x14ac:dyDescent="0.15">
      <c r="A10" s="19" t="s">
        <v>11</v>
      </c>
      <c r="B10" s="131">
        <f>C10/12</f>
        <v>155.53684210526316</v>
      </c>
      <c r="C10" s="131">
        <f>'Family expenses'!B17</f>
        <v>1866.4421052631578</v>
      </c>
      <c r="D10" s="27">
        <f>C10/C20</f>
        <v>2.4546591962656662E-2</v>
      </c>
      <c r="F10" s="30"/>
      <c r="G10" s="31"/>
      <c r="H10" s="26"/>
      <c r="I10" s="26"/>
      <c r="J10" s="23"/>
      <c r="K10" s="24"/>
      <c r="L10" s="25"/>
      <c r="M10" s="24"/>
      <c r="P10" s="26"/>
      <c r="T10" s="11"/>
      <c r="U10" s="32"/>
      <c r="W10" s="26"/>
      <c r="AA10" s="11"/>
      <c r="AB10" s="32"/>
    </row>
    <row r="11" spans="1:28" ht="17" customHeight="1" x14ac:dyDescent="0.15">
      <c r="A11" s="19" t="s">
        <v>104</v>
      </c>
      <c r="B11" s="131">
        <f>'Family expenses'!B27</f>
        <v>2021.2360837532581</v>
      </c>
      <c r="C11" s="131">
        <f>(B11)*12</f>
        <v>24254.833005039098</v>
      </c>
      <c r="D11" s="27">
        <f>C11/C20</f>
        <v>0.31898845788904229</v>
      </c>
      <c r="F11" s="21"/>
      <c r="G11" s="24"/>
      <c r="H11" s="33"/>
      <c r="I11" s="34"/>
      <c r="J11" s="8"/>
      <c r="K11" s="24"/>
      <c r="L11" s="25"/>
      <c r="M11" s="24"/>
      <c r="P11" s="26"/>
      <c r="T11" s="11"/>
      <c r="U11" s="32"/>
      <c r="W11" s="26"/>
      <c r="AA11" s="11"/>
      <c r="AB11" s="32"/>
    </row>
    <row r="12" spans="1:28" ht="17" customHeight="1" x14ac:dyDescent="0.15">
      <c r="A12" s="19" t="s">
        <v>12</v>
      </c>
      <c r="B12" s="131">
        <f>C12/12</f>
        <v>544.18330194601378</v>
      </c>
      <c r="C12" s="131">
        <f>'Family expenses'!B35</f>
        <v>6530.199623352165</v>
      </c>
      <c r="D12" s="27">
        <f>C12/C20</f>
        <v>8.5882195401136882E-2</v>
      </c>
      <c r="F12" s="35"/>
      <c r="H12" s="36"/>
      <c r="I12" s="34"/>
      <c r="J12" s="37"/>
      <c r="K12" s="24"/>
      <c r="L12" s="25"/>
      <c r="M12" s="24"/>
      <c r="P12" s="26"/>
      <c r="T12" s="11"/>
      <c r="U12" s="32"/>
      <c r="W12" s="26"/>
      <c r="AA12" s="11"/>
      <c r="AB12" s="32"/>
    </row>
    <row r="13" spans="1:28" ht="17" customHeight="1" x14ac:dyDescent="0.15">
      <c r="A13" s="19" t="s">
        <v>96</v>
      </c>
      <c r="B13" s="131">
        <f>C13/12</f>
        <v>782.47409669243427</v>
      </c>
      <c r="C13" s="131">
        <f>(C9+C10)*0.754</f>
        <v>9389.6891603092117</v>
      </c>
      <c r="D13" s="27">
        <f>C13/C20</f>
        <v>0.12348889248927088</v>
      </c>
      <c r="F13" s="21"/>
      <c r="G13" s="24"/>
      <c r="H13" s="38"/>
      <c r="I13" s="29"/>
      <c r="J13" s="23"/>
      <c r="K13" s="24"/>
      <c r="L13" s="25"/>
      <c r="M13" s="24"/>
      <c r="P13" s="26"/>
      <c r="R13" s="10"/>
      <c r="T13" s="11"/>
      <c r="U13" s="32"/>
      <c r="W13" s="26"/>
      <c r="Y13" s="10"/>
      <c r="AA13" s="11"/>
      <c r="AB13" s="32"/>
    </row>
    <row r="14" spans="1:28" s="41" customFormat="1" ht="17" customHeight="1" x14ac:dyDescent="0.15">
      <c r="A14" s="39" t="s">
        <v>13</v>
      </c>
      <c r="B14" s="187"/>
      <c r="C14" s="187">
        <f>SUM(C9:C13)</f>
        <v>52627.890436325426</v>
      </c>
      <c r="D14" s="40">
        <f>C14/C20</f>
        <v>0.69213791778113554</v>
      </c>
      <c r="E14"/>
      <c r="F14" s="15"/>
      <c r="G14" s="38"/>
      <c r="H14" s="36"/>
      <c r="I14" s="34"/>
      <c r="J14" s="38"/>
      <c r="K14" s="29"/>
      <c r="L14" s="25"/>
      <c r="M14" s="24"/>
      <c r="N14"/>
      <c r="O14"/>
      <c r="P14" s="26"/>
      <c r="Q14"/>
      <c r="R14"/>
      <c r="S14"/>
      <c r="T14" s="11"/>
      <c r="U14" s="32"/>
      <c r="W14" s="26"/>
      <c r="X14"/>
      <c r="Y14"/>
      <c r="Z14"/>
      <c r="AA14" s="11"/>
      <c r="AB14" s="32"/>
    </row>
    <row r="15" spans="1:28" ht="17" customHeight="1" x14ac:dyDescent="0.15">
      <c r="A15" s="19" t="s">
        <v>14</v>
      </c>
      <c r="B15" s="131">
        <f>C15/12</f>
        <v>1400.6666666666667</v>
      </c>
      <c r="C15" s="131">
        <f>'Family expenses'!B47</f>
        <v>16808</v>
      </c>
      <c r="D15" s="27">
        <f>C15/C20</f>
        <v>0.22105111995968493</v>
      </c>
      <c r="F15" s="21"/>
      <c r="G15" s="23"/>
      <c r="H15" s="41"/>
      <c r="I15" s="29"/>
      <c r="J15" s="23"/>
      <c r="K15" s="24"/>
      <c r="L15" s="26"/>
      <c r="M15" s="42"/>
      <c r="N15" s="42"/>
      <c r="P15" s="26"/>
      <c r="R15" s="10"/>
      <c r="T15" s="11"/>
      <c r="U15" s="32"/>
      <c r="W15" s="26"/>
      <c r="Y15" s="10"/>
      <c r="AA15" s="11"/>
      <c r="AB15" s="32"/>
    </row>
    <row r="16" spans="1:28" ht="17" customHeight="1" x14ac:dyDescent="0.15">
      <c r="A16" s="19" t="s">
        <v>97</v>
      </c>
      <c r="B16" s="131">
        <f>'Family expenses'!B53</f>
        <v>151</v>
      </c>
      <c r="C16" s="131">
        <f>B16*12</f>
        <v>1812</v>
      </c>
      <c r="D16" s="27">
        <f>C16/C20</f>
        <v>2.3830594322164986E-2</v>
      </c>
      <c r="F16" s="17"/>
      <c r="G16" s="7"/>
      <c r="H16" s="23"/>
      <c r="I16" s="23"/>
      <c r="J16" s="23"/>
      <c r="K16" s="24"/>
      <c r="L16" s="26"/>
      <c r="P16" s="26"/>
      <c r="Q16" s="42"/>
      <c r="T16" s="11"/>
      <c r="U16" s="32"/>
      <c r="W16" s="26"/>
      <c r="X16" s="42"/>
      <c r="AA16" s="11"/>
      <c r="AB16" s="32"/>
    </row>
    <row r="17" spans="1:25" ht="17" customHeight="1" x14ac:dyDescent="0.15">
      <c r="A17" s="19" t="s">
        <v>15</v>
      </c>
      <c r="B17" s="131">
        <f>IF((D52-3000-MAX(0,2*3000-G49/2))&gt;42000,75,IF((D52-3000-MAX(0,2*3000-G49/2))&gt;38000,65,IF((D52-3000-MAX(0,2*3000-G49/2))&gt;34000,56,IF((D52-3000-MAX(0,2*3000-G49/2))&gt;30000,46,IF((D52-3000-MAX(0,2*3000-G49/2))&gt;28000,35,IF((D52-3000-MAX(0,2*3000-G49/2))&gt;26000,23,0))))))</f>
        <v>75</v>
      </c>
      <c r="C17" s="131">
        <f>B17*12</f>
        <v>900</v>
      </c>
      <c r="D17" s="27">
        <f>C17/C20</f>
        <v>1.1836387908360092E-2</v>
      </c>
      <c r="F17" s="21"/>
      <c r="G17" s="43"/>
      <c r="I17" s="23"/>
      <c r="J17" s="23"/>
      <c r="M17" s="26"/>
      <c r="O17" s="2"/>
      <c r="Q17" s="11"/>
      <c r="R17" s="32"/>
      <c r="T17" s="26"/>
      <c r="V17" s="2"/>
      <c r="X17" s="11"/>
      <c r="Y17" s="32"/>
    </row>
    <row r="18" spans="1:25" ht="17" customHeight="1" x14ac:dyDescent="0.15">
      <c r="A18" s="19" t="s">
        <v>99</v>
      </c>
      <c r="B18" s="131">
        <f>C18/12</f>
        <v>227.5</v>
      </c>
      <c r="C18" s="131">
        <f>B47*B48*2+C47*C48*2</f>
        <v>2730</v>
      </c>
      <c r="D18" s="27">
        <f>C18/C20</f>
        <v>3.590370998869228E-2</v>
      </c>
      <c r="F18" s="21"/>
      <c r="G18" s="43"/>
      <c r="H18" s="23"/>
      <c r="I18" s="23"/>
      <c r="J18" s="23"/>
      <c r="K18" s="2"/>
      <c r="M18" s="26"/>
      <c r="Q18" s="11"/>
      <c r="R18" s="32"/>
      <c r="T18" s="26"/>
      <c r="X18" s="11"/>
      <c r="Y18" s="32"/>
    </row>
    <row r="19" spans="1:25" ht="17" customHeight="1" x14ac:dyDescent="0.15">
      <c r="A19" s="19" t="s">
        <v>16</v>
      </c>
      <c r="B19" s="131">
        <f>C19/12</f>
        <v>96.568333333333342</v>
      </c>
      <c r="C19" s="131">
        <f>'Family expenses'!B59</f>
        <v>1158.8200000000002</v>
      </c>
      <c r="D19" s="27">
        <f>C19/C20</f>
        <v>1.524027003996205E-2</v>
      </c>
      <c r="F19" s="21"/>
      <c r="G19" s="44"/>
      <c r="H19" s="45"/>
      <c r="I19" s="45"/>
      <c r="J19" s="45"/>
      <c r="K19" s="2"/>
      <c r="M19" s="26"/>
      <c r="N19" s="2"/>
      <c r="O19" s="2"/>
      <c r="Q19" s="11"/>
      <c r="R19" s="32"/>
      <c r="T19" s="26"/>
      <c r="U19" s="2"/>
      <c r="V19" s="2"/>
      <c r="X19" s="11"/>
      <c r="Y19" s="32"/>
    </row>
    <row r="20" spans="1:25" ht="17" customHeight="1" x14ac:dyDescent="0.15">
      <c r="A20" s="19" t="s">
        <v>17</v>
      </c>
      <c r="B20" s="131">
        <f>SUM(B8:B19)</f>
        <v>6336.3925363604531</v>
      </c>
      <c r="C20" s="131">
        <f>SUM(C9:C19)-C14</f>
        <v>76036.710436325433</v>
      </c>
      <c r="D20" s="27">
        <f>C20/C20</f>
        <v>1</v>
      </c>
      <c r="F20" s="17"/>
      <c r="G20" s="46"/>
      <c r="H20" s="36"/>
      <c r="I20" s="34"/>
      <c r="J20" s="36"/>
      <c r="K20" s="2"/>
      <c r="M20" s="26"/>
      <c r="N20" s="2"/>
      <c r="Q20" s="11"/>
      <c r="R20" s="32"/>
      <c r="T20" s="26"/>
      <c r="U20" s="2"/>
      <c r="X20" s="11"/>
      <c r="Y20" s="32"/>
    </row>
    <row r="21" spans="1:25" ht="17" customHeight="1" x14ac:dyDescent="0.15">
      <c r="A21" s="7"/>
      <c r="B21" s="109"/>
      <c r="C21" s="109"/>
      <c r="D21" s="23"/>
      <c r="F21" s="23"/>
      <c r="G21" s="23"/>
      <c r="H21" s="37"/>
      <c r="I21" s="23"/>
      <c r="J21" s="34"/>
      <c r="K21" s="148"/>
      <c r="M21" s="26"/>
      <c r="N21" s="2"/>
      <c r="Q21" s="11"/>
      <c r="R21" s="32"/>
      <c r="T21" s="26"/>
      <c r="U21" s="2"/>
      <c r="X21" s="11"/>
      <c r="Y21" s="32"/>
    </row>
    <row r="22" spans="1:25" ht="17" customHeight="1" x14ac:dyDescent="0.15">
      <c r="A22" s="47"/>
      <c r="B22" s="110"/>
      <c r="C22" s="110"/>
      <c r="H22" s="48"/>
      <c r="J22" s="48"/>
      <c r="K22" s="2"/>
      <c r="M22" s="26"/>
      <c r="N22" s="2"/>
      <c r="Q22" s="11"/>
      <c r="R22" s="32"/>
      <c r="T22" s="26"/>
      <c r="U22" s="2"/>
      <c r="X22" s="11"/>
      <c r="Y22" s="32"/>
    </row>
    <row r="23" spans="1:25" ht="17" customHeight="1" x14ac:dyDescent="0.2">
      <c r="A23" s="6" t="s">
        <v>18</v>
      </c>
      <c r="K23" s="2"/>
      <c r="M23" s="26"/>
      <c r="N23" s="2"/>
      <c r="Q23" s="11"/>
      <c r="R23" s="32"/>
      <c r="T23" s="26"/>
      <c r="U23" s="2"/>
      <c r="X23" s="11"/>
      <c r="Y23" s="32"/>
    </row>
    <row r="24" spans="1:25" ht="17" customHeight="1" x14ac:dyDescent="0.2">
      <c r="C24" s="6"/>
      <c r="J24" s="48"/>
      <c r="K24" s="2"/>
      <c r="M24" s="49"/>
      <c r="N24" s="2"/>
      <c r="O24" s="2"/>
      <c r="P24" s="10"/>
      <c r="Q24" s="50"/>
      <c r="R24" s="51"/>
      <c r="T24" s="49"/>
      <c r="U24" s="2"/>
      <c r="V24" s="2"/>
      <c r="W24" s="10"/>
      <c r="X24" s="50"/>
      <c r="Y24" s="51"/>
    </row>
    <row r="25" spans="1:25" ht="17" customHeight="1" x14ac:dyDescent="0.15">
      <c r="A25" s="52" t="s">
        <v>9</v>
      </c>
      <c r="B25" s="13" t="s">
        <v>4</v>
      </c>
      <c r="C25" s="13" t="s">
        <v>5</v>
      </c>
      <c r="D25" s="9"/>
      <c r="E25" s="53" t="s">
        <v>19</v>
      </c>
      <c r="F25" s="53" t="s">
        <v>20</v>
      </c>
      <c r="G25" s="53" t="s">
        <v>21</v>
      </c>
      <c r="H25" s="54" t="s">
        <v>103</v>
      </c>
      <c r="I25" s="9"/>
      <c r="K25" s="53"/>
      <c r="L25" s="53"/>
      <c r="M25" s="53"/>
      <c r="N25" s="54"/>
      <c r="O25" s="2"/>
      <c r="P25" s="10"/>
      <c r="Q25" s="50"/>
      <c r="R25" s="51"/>
      <c r="T25" s="49"/>
      <c r="U25" s="2"/>
      <c r="V25" s="2"/>
      <c r="W25" s="10"/>
      <c r="X25" s="50"/>
      <c r="Y25" s="51"/>
    </row>
    <row r="26" spans="1:25" ht="17" customHeight="1" x14ac:dyDescent="0.15">
      <c r="A26" s="19" t="s">
        <v>137</v>
      </c>
      <c r="B26" s="128">
        <f>C26/12</f>
        <v>652.3104208333333</v>
      </c>
      <c r="C26" s="128">
        <f>E26</f>
        <v>7827.72505</v>
      </c>
      <c r="D26" s="58"/>
      <c r="E26" s="56">
        <f>IF(D52&lt;F26,(5481+6496),IF(D52&lt;G26,(5481+6496-(D52-F26)*0.135),(5481+6496-(G26-F26)*0.135-(D52-G26)*0.057)))</f>
        <v>7827.72505</v>
      </c>
      <c r="F26" s="57">
        <v>30450</v>
      </c>
      <c r="G26" s="57">
        <v>65975</v>
      </c>
      <c r="H26" s="61">
        <f>(5481+6496-(G26-F26)*0.135)/0.057+G26</f>
        <v>191959.64912280702</v>
      </c>
      <c r="J26" s="60"/>
      <c r="K26" s="158"/>
      <c r="L26" s="159"/>
      <c r="M26" s="33"/>
      <c r="N26" s="34"/>
      <c r="Q26" s="11"/>
      <c r="R26" s="32"/>
      <c r="T26" s="26"/>
      <c r="U26" s="2"/>
      <c r="X26" s="11"/>
      <c r="Y26" s="32"/>
    </row>
    <row r="27" spans="1:25" ht="17" customHeight="1" x14ac:dyDescent="0.15">
      <c r="A27" s="19" t="s">
        <v>133</v>
      </c>
      <c r="B27" s="128">
        <v>55</v>
      </c>
      <c r="C27" s="128">
        <f>12*B27</f>
        <v>660</v>
      </c>
      <c r="D27" s="55"/>
      <c r="E27" s="46"/>
      <c r="F27" s="61"/>
      <c r="G27" s="61"/>
      <c r="H27" s="59"/>
      <c r="I27" s="24"/>
      <c r="K27" s="158"/>
      <c r="L27" s="158"/>
      <c r="M27" s="34"/>
      <c r="N27" s="34"/>
      <c r="Q27" s="11"/>
      <c r="R27" s="32"/>
      <c r="T27" s="26"/>
      <c r="U27" s="2"/>
      <c r="X27" s="11"/>
      <c r="Y27" s="32"/>
    </row>
    <row r="28" spans="1:25" ht="17" customHeight="1" x14ac:dyDescent="0.15">
      <c r="A28" s="19" t="s">
        <v>134</v>
      </c>
      <c r="B28" s="128">
        <f>(C28)/12</f>
        <v>0</v>
      </c>
      <c r="C28" s="128">
        <f>MAX(0,E28)</f>
        <v>0</v>
      </c>
      <c r="D28" s="55"/>
      <c r="E28" s="34">
        <f>IF(D52&lt;F28,2*(284+149),2*(284+149)-(D52-F28)*0.05)</f>
        <v>-344.46849999999972</v>
      </c>
      <c r="F28" s="61">
        <v>36976</v>
      </c>
      <c r="G28" s="61">
        <f>(284*2+149*2)/0.05+F28</f>
        <v>54296</v>
      </c>
      <c r="H28" s="59"/>
      <c r="I28" s="24"/>
      <c r="J28" s="24"/>
      <c r="K28" s="158"/>
      <c r="L28" s="158"/>
      <c r="M28" s="34"/>
      <c r="Q28" s="11"/>
      <c r="R28" s="32"/>
      <c r="T28" s="26"/>
      <c r="U28" s="2"/>
      <c r="X28" s="11"/>
      <c r="Y28" s="32"/>
    </row>
    <row r="29" spans="1:25" ht="17" customHeight="1" x14ac:dyDescent="0.15">
      <c r="A29" s="91" t="s">
        <v>135</v>
      </c>
      <c r="B29" s="131">
        <v>0</v>
      </c>
      <c r="C29" s="131">
        <f>12*B29</f>
        <v>0</v>
      </c>
      <c r="D29" s="34" t="s">
        <v>22</v>
      </c>
      <c r="F29" s="33"/>
      <c r="G29" s="34"/>
      <c r="H29" s="24"/>
      <c r="I29" s="24"/>
      <c r="J29" s="24"/>
      <c r="K29" s="158"/>
      <c r="L29" s="158"/>
      <c r="M29" s="34"/>
      <c r="N29" s="34"/>
      <c r="Q29" s="11"/>
      <c r="R29" s="32"/>
      <c r="T29" s="26"/>
      <c r="U29" s="2"/>
      <c r="X29" s="11"/>
      <c r="Y29" s="32"/>
    </row>
    <row r="30" spans="1:25" ht="17" customHeight="1" x14ac:dyDescent="0.15">
      <c r="A30" s="19" t="s">
        <v>107</v>
      </c>
      <c r="B30" s="128">
        <f>C30/3</f>
        <v>0</v>
      </c>
      <c r="C30" s="128">
        <f>MAX(0,E30)</f>
        <v>0</v>
      </c>
      <c r="E30" s="36">
        <f>0.5*IF(D52&lt;F30,2*(135+40),2*(135+40)-(D52-F30)*0.02)</f>
        <v>-40.273699999999963</v>
      </c>
      <c r="F30" s="61">
        <v>39658</v>
      </c>
      <c r="G30" s="61">
        <f>2*(135+40)/0.02+F30</f>
        <v>57158</v>
      </c>
      <c r="H30" s="24"/>
      <c r="I30" s="24"/>
      <c r="K30" s="158"/>
      <c r="L30" s="84"/>
      <c r="M30" s="26"/>
      <c r="N30" s="2"/>
      <c r="Q30" s="11"/>
      <c r="R30" s="32"/>
      <c r="T30" s="26"/>
      <c r="U30" s="2"/>
      <c r="X30" s="11"/>
      <c r="Y30" s="32"/>
    </row>
    <row r="31" spans="1:25" ht="17" customHeight="1" x14ac:dyDescent="0.15">
      <c r="A31" s="19" t="s">
        <v>108</v>
      </c>
      <c r="B31" s="128">
        <f>C31/9</f>
        <v>0</v>
      </c>
      <c r="C31" s="128">
        <f>MAX(0,E31)</f>
        <v>0</v>
      </c>
      <c r="E31" s="36">
        <f>0.5*IF(D52&lt;F31,2*(154.5+45.5),2*(154.5+45.5)-(D52-F31)*0.02)</f>
        <v>-4.9636999999999603</v>
      </c>
      <c r="F31" s="61">
        <v>40689</v>
      </c>
      <c r="G31" s="61">
        <f>2*(154.5+45.5)/0.02+F31</f>
        <v>60689</v>
      </c>
      <c r="H31" s="24"/>
      <c r="I31" s="24"/>
      <c r="K31" s="158"/>
      <c r="L31" s="84"/>
      <c r="M31" s="26"/>
      <c r="N31" s="2"/>
      <c r="Q31" s="11"/>
      <c r="R31" s="32"/>
      <c r="T31" s="26"/>
      <c r="U31" s="2"/>
      <c r="X31" s="11"/>
      <c r="Y31" s="32"/>
    </row>
    <row r="32" spans="1:25" ht="17" customHeight="1" x14ac:dyDescent="0.15">
      <c r="A32" s="19" t="s">
        <v>113</v>
      </c>
      <c r="B32" s="131">
        <f>C32/12</f>
        <v>584.44749999999999</v>
      </c>
      <c r="C32" s="131">
        <f>MIN('Family expenses'!B42,J40*12)+MIN('Family expenses'!B43,J41*10)+MIN('Family expenses'!B44,6/20*J42)+MIN('Family expenses'!B45,15/20*J42)+MIN('Family expenses'!B46,J42*1.5)</f>
        <v>7013.37</v>
      </c>
      <c r="D32" s="34"/>
      <c r="E32" s="62"/>
      <c r="F32" s="34"/>
      <c r="H32" s="24"/>
      <c r="J32" s="24"/>
      <c r="K32" s="84"/>
      <c r="L32" s="84"/>
      <c r="M32" s="26"/>
      <c r="Q32" s="11"/>
      <c r="T32" s="26"/>
      <c r="X32" s="11"/>
    </row>
    <row r="33" spans="1:25" ht="17" customHeight="1" x14ac:dyDescent="0.15">
      <c r="A33" s="19" t="s">
        <v>17</v>
      </c>
      <c r="B33" s="128">
        <f>C33/12</f>
        <v>1291.7579208333334</v>
      </c>
      <c r="C33" s="128">
        <f>SUM(C26:C32)</f>
        <v>15501.09505</v>
      </c>
      <c r="D33" s="34" t="s">
        <v>93</v>
      </c>
      <c r="H33" s="24"/>
      <c r="I33" s="24"/>
      <c r="K33" s="84"/>
      <c r="L33" s="84"/>
      <c r="P33" s="26"/>
      <c r="Q33" s="10"/>
      <c r="R33" s="10"/>
      <c r="W33" s="26"/>
      <c r="X33" s="10"/>
      <c r="Y33" s="10"/>
    </row>
    <row r="34" spans="1:25" ht="17" customHeight="1" x14ac:dyDescent="0.15">
      <c r="A34" s="114"/>
      <c r="B34" s="144"/>
      <c r="C34" s="144"/>
      <c r="D34" s="34"/>
      <c r="H34" s="24"/>
      <c r="I34" s="24"/>
      <c r="P34" s="26"/>
      <c r="Q34" s="10"/>
      <c r="R34" s="10"/>
      <c r="W34" s="26"/>
      <c r="X34" s="10"/>
      <c r="Y34" s="10"/>
    </row>
    <row r="35" spans="1:25" ht="17" customHeight="1" x14ac:dyDescent="0.15">
      <c r="A35" s="7"/>
      <c r="B35" s="23"/>
      <c r="C35" s="23"/>
      <c r="H35" s="24"/>
      <c r="I35" s="24"/>
      <c r="L35" s="9"/>
      <c r="M35" s="10"/>
      <c r="N35" s="10"/>
      <c r="O35" s="10"/>
    </row>
    <row r="36" spans="1:25" ht="17" customHeight="1" x14ac:dyDescent="0.2">
      <c r="A36" s="6" t="s">
        <v>23</v>
      </c>
      <c r="K36" s="171"/>
      <c r="L36" s="24"/>
      <c r="M36" s="24"/>
      <c r="N36" s="24"/>
    </row>
    <row r="37" spans="1:25" ht="17" customHeight="1" x14ac:dyDescent="0.2">
      <c r="A37" s="3"/>
      <c r="K37" s="10"/>
      <c r="L37" s="63"/>
      <c r="O37" s="9"/>
      <c r="P37" s="10"/>
      <c r="Q37" s="10"/>
      <c r="R37" s="10"/>
      <c r="S37" s="63"/>
    </row>
    <row r="38" spans="1:25" ht="17" customHeight="1" x14ac:dyDescent="0.2">
      <c r="A38" s="64"/>
      <c r="B38" s="13"/>
      <c r="C38" s="13" t="s">
        <v>5</v>
      </c>
      <c r="D38" s="9"/>
      <c r="E38" s="173" t="s">
        <v>113</v>
      </c>
      <c r="F38" s="174"/>
      <c r="G38" s="174"/>
      <c r="H38" s="175"/>
      <c r="K38" s="145"/>
    </row>
    <row r="39" spans="1:25" ht="17" customHeight="1" x14ac:dyDescent="0.15">
      <c r="A39" s="19" t="s">
        <v>24</v>
      </c>
      <c r="B39" s="128"/>
      <c r="C39" s="128">
        <f>C33+D58</f>
        <v>76314.250906140005</v>
      </c>
      <c r="D39" s="84"/>
      <c r="E39" s="172" t="s">
        <v>25</v>
      </c>
      <c r="F39" s="172" t="s">
        <v>26</v>
      </c>
      <c r="G39" s="172" t="s">
        <v>90</v>
      </c>
      <c r="H39" s="172" t="s">
        <v>91</v>
      </c>
      <c r="I39" s="14" t="s">
        <v>114</v>
      </c>
      <c r="J39" s="66" t="s">
        <v>27</v>
      </c>
    </row>
    <row r="40" spans="1:25" ht="17" customHeight="1" x14ac:dyDescent="0.15">
      <c r="A40" s="19" t="s">
        <v>28</v>
      </c>
      <c r="B40" s="128"/>
      <c r="C40" s="128">
        <f>C20</f>
        <v>76036.710436325433</v>
      </c>
      <c r="D40" s="84"/>
      <c r="E40" s="14">
        <v>4</v>
      </c>
      <c r="F40" s="14">
        <v>550</v>
      </c>
      <c r="G40" s="165">
        <v>45000</v>
      </c>
      <c r="H40" s="165">
        <v>60000</v>
      </c>
      <c r="I40" s="165">
        <v>80000</v>
      </c>
      <c r="J40" s="67">
        <f>IF((D50-4000)&lt;G40,F40,IF((D50-4000)&lt;H40,F40*(1-(D50-4000-G40)*0.272/15000),IF((D50-4000)&lt;I40,0.728*F40,IF((D50-4000)&lt;111000,0.728*F40*(1-(D50-4000-I40)/31000),0))))</f>
        <v>400.4</v>
      </c>
    </row>
    <row r="41" spans="1:25" ht="17" customHeight="1" x14ac:dyDescent="0.15">
      <c r="A41" s="19" t="s">
        <v>29</v>
      </c>
      <c r="B41" s="128"/>
      <c r="C41" s="128">
        <f>C39-C40</f>
        <v>277.54046981457213</v>
      </c>
      <c r="D41" s="84"/>
      <c r="E41" s="14" t="s">
        <v>111</v>
      </c>
      <c r="F41" s="14">
        <v>210</v>
      </c>
      <c r="G41" s="165">
        <v>45000</v>
      </c>
      <c r="H41" s="165">
        <v>60000</v>
      </c>
      <c r="I41" s="165">
        <v>80000</v>
      </c>
      <c r="J41" s="67">
        <f>IF((D50-4000)&lt;G41,F41,IF((D50-4000)&lt;H41,F41*(1-(D50-4000-G41)*0.272/15000),IF((D50-4000)&lt;I41,0.728*F41,IF((D50-4000)&lt;111000,0.728*F41*(1-(D50-4000-I41)/31000),0))))</f>
        <v>152.88</v>
      </c>
    </row>
    <row r="42" spans="1:25" ht="17" customHeight="1" x14ac:dyDescent="0.15">
      <c r="A42" s="7"/>
      <c r="B42" s="133"/>
      <c r="C42" s="133"/>
      <c r="D42" s="84"/>
      <c r="E42" s="14" t="s">
        <v>112</v>
      </c>
      <c r="F42" s="14">
        <v>415</v>
      </c>
      <c r="G42" s="165">
        <v>45000</v>
      </c>
      <c r="H42" s="165">
        <v>60000</v>
      </c>
      <c r="I42" s="165">
        <v>80000</v>
      </c>
      <c r="J42" s="67">
        <f>IF((D50-4000)&lt;G42,F42,IF((D50-4000)&lt;H42,F42*(1-(D50-4000-G42)*0.272/15000),IF((D50-4000)&lt;I42,0.728*F42,IF((D50-4000)&lt;111000,0.728*F42*(1-(D50-4000-I42)/31000),0))))</f>
        <v>302.12</v>
      </c>
    </row>
    <row r="43" spans="1:25" ht="17" customHeight="1" x14ac:dyDescent="0.15">
      <c r="B43" s="84"/>
      <c r="C43" s="84"/>
      <c r="D43" s="84"/>
      <c r="E43" s="34" t="s">
        <v>131</v>
      </c>
      <c r="H43" s="24"/>
      <c r="I43" s="24"/>
    </row>
    <row r="44" spans="1:25" ht="17" customHeight="1" x14ac:dyDescent="0.2">
      <c r="A44" s="69" t="s">
        <v>128</v>
      </c>
      <c r="B44" s="84"/>
      <c r="C44" s="84"/>
      <c r="D44" s="84"/>
    </row>
    <row r="45" spans="1:25" ht="17" customHeight="1" x14ac:dyDescent="0.15">
      <c r="B45" s="134"/>
      <c r="C45" s="84"/>
      <c r="D45" s="84"/>
    </row>
    <row r="46" spans="1:25" s="26" customFormat="1" ht="17" customHeight="1" x14ac:dyDescent="0.15">
      <c r="A46" s="13"/>
      <c r="B46" s="135" t="s">
        <v>30</v>
      </c>
      <c r="C46" s="135" t="s">
        <v>31</v>
      </c>
      <c r="D46" s="135" t="s">
        <v>17</v>
      </c>
      <c r="F46" s="9"/>
      <c r="G46" s="70"/>
      <c r="H46" s="70"/>
      <c r="I46" s="70"/>
    </row>
    <row r="47" spans="1:25" s="2" customFormat="1" ht="17" customHeight="1" x14ac:dyDescent="0.15">
      <c r="A47" s="19" t="s">
        <v>32</v>
      </c>
      <c r="B47" s="128">
        <v>35</v>
      </c>
      <c r="C47" s="136">
        <v>35</v>
      </c>
      <c r="D47" s="128">
        <f>B47+C47</f>
        <v>70</v>
      </c>
      <c r="F47" s="176" t="s">
        <v>33</v>
      </c>
      <c r="G47" s="177"/>
      <c r="H47" s="177"/>
      <c r="I47" s="178"/>
    </row>
    <row r="48" spans="1:25" s="2" customFormat="1" ht="17" customHeight="1" x14ac:dyDescent="0.15">
      <c r="A48" s="19" t="s">
        <v>34</v>
      </c>
      <c r="B48" s="129">
        <v>19.5</v>
      </c>
      <c r="C48" s="137">
        <f>B48</f>
        <v>19.5</v>
      </c>
      <c r="D48" s="128"/>
      <c r="F48" s="192" t="s">
        <v>30</v>
      </c>
      <c r="G48" s="193"/>
      <c r="H48" s="192" t="s">
        <v>31</v>
      </c>
      <c r="I48" s="193"/>
      <c r="J48" s="71"/>
    </row>
    <row r="49" spans="1:11" ht="17" customHeight="1" x14ac:dyDescent="0.15">
      <c r="A49" s="73"/>
      <c r="B49" s="138"/>
      <c r="C49" s="139"/>
      <c r="D49" s="138"/>
      <c r="F49" s="74" t="s">
        <v>37</v>
      </c>
      <c r="G49" s="156">
        <f>MIN((MIN('Family expenses'!B42-12*J40,8000)+MIN(MIN(MAX('Family expenses'!B43-10*J41,0)+MAX('Family expenses'!B44-6/20*J42,0) +MAX('Family expenses'!B45-15/20*J42,0)+MAX('Family expenses'!B46-J42*1.5,0),5000))))</f>
        <v>9794.630000000001</v>
      </c>
      <c r="H49" s="74" t="s">
        <v>40</v>
      </c>
      <c r="I49" s="155">
        <f>'Family expenses'!B56*2</f>
        <v>683.7</v>
      </c>
      <c r="J49" s="63"/>
      <c r="K49" s="170"/>
    </row>
    <row r="50" spans="1:11" ht="17" customHeight="1" x14ac:dyDescent="0.15">
      <c r="A50" s="19" t="s">
        <v>35</v>
      </c>
      <c r="B50" s="128">
        <f>B48*B47*52</f>
        <v>35490</v>
      </c>
      <c r="C50" s="128">
        <f>C48*C47*52</f>
        <v>35490</v>
      </c>
      <c r="D50" s="128">
        <f t="shared" ref="D50:D57" si="0">B50+C50</f>
        <v>70980</v>
      </c>
      <c r="F50" s="74" t="s">
        <v>39</v>
      </c>
      <c r="G50" s="76">
        <f>(C16-B52*0.03)</f>
        <v>1041.1388999999999</v>
      </c>
      <c r="H50" s="74" t="s">
        <v>43</v>
      </c>
      <c r="I50" s="75">
        <f>IF(D52&lt;30043,(MIN(0.194*(D50-4750),1932)-0.157*(D52-17737)),0)</f>
        <v>0</v>
      </c>
      <c r="J50" s="24"/>
    </row>
    <row r="51" spans="1:11" ht="17" customHeight="1" x14ac:dyDescent="0.15">
      <c r="A51" s="19" t="s">
        <v>36</v>
      </c>
      <c r="B51" s="128">
        <f>-G49</f>
        <v>-9794.630000000001</v>
      </c>
      <c r="C51" s="128"/>
      <c r="D51" s="128"/>
      <c r="F51" s="74" t="s">
        <v>42</v>
      </c>
      <c r="G51" s="75">
        <f>IF((0.25*G50 - 0.05*(D52-27044))&gt;0,(0.25*G50 - 0.05*(D52-27044)),0)</f>
        <v>0</v>
      </c>
      <c r="J51" s="24"/>
    </row>
    <row r="52" spans="1:11" ht="17" customHeight="1" x14ac:dyDescent="0.15">
      <c r="A52" s="19" t="s">
        <v>38</v>
      </c>
      <c r="B52" s="128">
        <f>B50+B51</f>
        <v>25695.37</v>
      </c>
      <c r="C52" s="128">
        <f>C50+C51</f>
        <v>35490</v>
      </c>
      <c r="D52" s="128">
        <f>B52+C52</f>
        <v>61185.369999999995</v>
      </c>
      <c r="F52" s="77"/>
      <c r="G52" s="78"/>
      <c r="J52" s="24"/>
    </row>
    <row r="53" spans="1:11" ht="17" customHeight="1" x14ac:dyDescent="0.15">
      <c r="A53" s="19" t="s">
        <v>41</v>
      </c>
      <c r="B53" s="128">
        <f>B50*0.0166</f>
        <v>589.13400000000001</v>
      </c>
      <c r="C53" s="128">
        <f>C50*0.0166</f>
        <v>589.13400000000001</v>
      </c>
      <c r="D53" s="128">
        <f>B53+C53</f>
        <v>1178.268</v>
      </c>
      <c r="E53" s="55"/>
      <c r="J53" s="24"/>
    </row>
    <row r="54" spans="1:11" ht="17" customHeight="1" x14ac:dyDescent="0.15">
      <c r="A54" s="19" t="s">
        <v>44</v>
      </c>
      <c r="B54" s="128">
        <f>(B50-3500)*0.0495</f>
        <v>1583.5050000000001</v>
      </c>
      <c r="C54" s="128">
        <f>(C50-3500)*0.0495</f>
        <v>1583.5050000000001</v>
      </c>
      <c r="D54" s="128">
        <f t="shared" si="0"/>
        <v>3167.01</v>
      </c>
      <c r="E54" s="55"/>
      <c r="F54" s="62"/>
      <c r="G54" s="62"/>
      <c r="H54" s="23"/>
      <c r="I54" s="141"/>
      <c r="J54" s="24"/>
    </row>
    <row r="55" spans="1:11" ht="17" customHeight="1" x14ac:dyDescent="0.15">
      <c r="A55" s="19" t="s">
        <v>45</v>
      </c>
      <c r="B55" s="128">
        <f>MAX(0,(B52*0.15-(11809+B53+B54+1195+MIN(G50,2302))*0.15))</f>
        <v>1421.6388149999998</v>
      </c>
      <c r="C55" s="132">
        <f>MAX(0,(C52*0.15-(11809+C53+C54+1195+I49)*0.15))</f>
        <v>2944.4491499999999</v>
      </c>
      <c r="D55" s="128">
        <f t="shared" si="0"/>
        <v>4366.0879649999997</v>
      </c>
    </row>
    <row r="56" spans="1:11" ht="17" customHeight="1" x14ac:dyDescent="0.15">
      <c r="A56" s="19" t="s">
        <v>46</v>
      </c>
      <c r="B56" s="128">
        <f>-G51</f>
        <v>0</v>
      </c>
      <c r="C56" s="128">
        <f>-I50</f>
        <v>0</v>
      </c>
      <c r="D56" s="128">
        <f>-(B56+C56)</f>
        <v>0</v>
      </c>
      <c r="E56" s="41"/>
    </row>
    <row r="57" spans="1:11" ht="17" customHeight="1" x14ac:dyDescent="0.15">
      <c r="A57" s="19" t="s">
        <v>47</v>
      </c>
      <c r="B57" s="128">
        <f>MAX(0,(B52*0.0506-(10412+B53+B54+MIN(G50,2165))*0.0506-MAX(0,453-(B52-20144)*0.0356)))</f>
        <v>355.35013225999995</v>
      </c>
      <c r="C57" s="132">
        <f>MAX(0,(C52*0.0506-(10412+C53+C54+(I49+60*8))*0.0506-MAX(0,453-(C52-20144)*0.0356)))</f>
        <v>1100.1280465999998</v>
      </c>
      <c r="D57" s="128">
        <f t="shared" si="0"/>
        <v>1455.4781788599998</v>
      </c>
      <c r="E57" s="41"/>
    </row>
    <row r="58" spans="1:11" ht="17" customHeight="1" x14ac:dyDescent="0.15">
      <c r="A58" s="19" t="s">
        <v>48</v>
      </c>
      <c r="B58" s="128">
        <f>B50-SUM(B53:B57)</f>
        <v>31540.37205274</v>
      </c>
      <c r="C58" s="128">
        <f>C50-SUM(C53:C57)</f>
        <v>29272.783803400001</v>
      </c>
      <c r="D58" s="128">
        <f>B58+C58</f>
        <v>60813.155856140002</v>
      </c>
      <c r="E58" s="24"/>
    </row>
    <row r="59" spans="1:11" ht="17" customHeight="1" x14ac:dyDescent="0.15">
      <c r="A59" s="19" t="s">
        <v>49</v>
      </c>
      <c r="B59" s="128">
        <f>B58/12</f>
        <v>2628.3643377283333</v>
      </c>
      <c r="C59" s="128">
        <f>C58/12</f>
        <v>2439.3986502833336</v>
      </c>
      <c r="D59" s="128">
        <f>B59+C59</f>
        <v>5067.7629880116674</v>
      </c>
      <c r="E59" s="80"/>
    </row>
    <row r="60" spans="1:11" ht="17" customHeight="1" x14ac:dyDescent="0.15">
      <c r="A60" s="81"/>
      <c r="B60" s="81"/>
      <c r="C60" s="81"/>
      <c r="D60" s="81"/>
    </row>
    <row r="61" spans="1:11" ht="17" customHeight="1" x14ac:dyDescent="0.15">
      <c r="B61" s="65"/>
      <c r="C61" s="24"/>
      <c r="D61" s="24"/>
    </row>
    <row r="62" spans="1:11" s="6" customFormat="1" ht="17" customHeight="1" x14ac:dyDescent="0.2">
      <c r="A62" s="6" t="s">
        <v>129</v>
      </c>
    </row>
    <row r="64" spans="1:11" ht="17" customHeight="1" x14ac:dyDescent="0.15">
      <c r="A64" s="82" t="s">
        <v>50</v>
      </c>
      <c r="B64" s="82"/>
      <c r="C64" s="82"/>
      <c r="D64" s="83">
        <f xml:space="preserve"> D50</f>
        <v>70980</v>
      </c>
      <c r="E64" s="82"/>
    </row>
    <row r="65" spans="1:6" ht="17" customHeight="1" x14ac:dyDescent="0.15">
      <c r="A65" s="82" t="s">
        <v>51</v>
      </c>
      <c r="B65" s="82"/>
      <c r="C65" s="82"/>
      <c r="D65" s="83">
        <f>SUM(B53:B57)+SUM(C53:C57)</f>
        <v>10166.844143859998</v>
      </c>
      <c r="E65" s="82"/>
    </row>
    <row r="66" spans="1:6" ht="17" customHeight="1" x14ac:dyDescent="0.15">
      <c r="A66" s="82" t="s">
        <v>52</v>
      </c>
      <c r="B66" s="82"/>
      <c r="C66" s="82"/>
      <c r="D66" s="83">
        <f>D64-D65</f>
        <v>60813.155856140002</v>
      </c>
      <c r="E66" s="82"/>
    </row>
    <row r="67" spans="1:6" ht="17" customHeight="1" x14ac:dyDescent="0.15">
      <c r="A67" s="82" t="s">
        <v>110</v>
      </c>
      <c r="B67" s="82"/>
      <c r="C67" s="82"/>
      <c r="D67" s="83">
        <f>C33</f>
        <v>15501.09505</v>
      </c>
      <c r="E67" s="82"/>
    </row>
    <row r="68" spans="1:6" ht="17" customHeight="1" x14ac:dyDescent="0.15">
      <c r="A68" s="82" t="s">
        <v>53</v>
      </c>
      <c r="B68" s="82"/>
      <c r="C68" s="82"/>
      <c r="D68" s="83">
        <f>D66+D67</f>
        <v>76314.250906140005</v>
      </c>
      <c r="E68" s="82"/>
    </row>
    <row r="69" spans="1:6" ht="17" customHeight="1" x14ac:dyDescent="0.15">
      <c r="A69" s="82" t="s">
        <v>54</v>
      </c>
      <c r="B69" s="82"/>
      <c r="C69" s="82"/>
      <c r="D69" s="83">
        <f>C20</f>
        <v>76036.710436325433</v>
      </c>
      <c r="E69" s="82"/>
    </row>
    <row r="70" spans="1:6" ht="17" customHeight="1" x14ac:dyDescent="0.15">
      <c r="A70" s="82" t="s">
        <v>55</v>
      </c>
      <c r="B70" s="82"/>
      <c r="C70" s="82"/>
      <c r="D70" s="83">
        <f>D68-D69</f>
        <v>277.54046981457213</v>
      </c>
      <c r="E70" s="82"/>
    </row>
    <row r="71" spans="1:6" ht="17" customHeight="1" x14ac:dyDescent="0.15">
      <c r="A71" s="82"/>
      <c r="B71" s="82"/>
      <c r="C71" s="82"/>
      <c r="D71" s="82"/>
      <c r="E71" s="82"/>
    </row>
    <row r="72" spans="1:6" ht="17" customHeight="1" x14ac:dyDescent="0.2">
      <c r="C72" s="6"/>
      <c r="E72" s="6"/>
    </row>
    <row r="73" spans="1:6" ht="17" customHeight="1" x14ac:dyDescent="0.15">
      <c r="B73" s="24"/>
    </row>
    <row r="74" spans="1:6" ht="17" customHeight="1" x14ac:dyDescent="0.15">
      <c r="A74" s="10"/>
      <c r="B74" s="26"/>
      <c r="C74" s="26"/>
      <c r="D74" s="26"/>
      <c r="E74" s="10"/>
      <c r="F74" s="85"/>
    </row>
    <row r="75" spans="1:6" ht="17" customHeight="1" x14ac:dyDescent="0.15">
      <c r="B75" s="24"/>
      <c r="C75" s="84"/>
      <c r="D75" s="24"/>
      <c r="F75" s="55"/>
    </row>
    <row r="76" spans="1:6" ht="17" customHeight="1" x14ac:dyDescent="0.2">
      <c r="A76" s="3"/>
      <c r="B76" s="24"/>
      <c r="C76" s="84"/>
      <c r="D76" s="24"/>
      <c r="F76" s="9"/>
    </row>
    <row r="77" spans="1:6" ht="17" customHeight="1" x14ac:dyDescent="0.15">
      <c r="B77" s="24"/>
      <c r="C77" s="86"/>
      <c r="F77" s="87"/>
    </row>
    <row r="78" spans="1:6" ht="17" customHeight="1" x14ac:dyDescent="0.15">
      <c r="B78" s="24"/>
      <c r="C78" s="86"/>
      <c r="F78" s="87"/>
    </row>
    <row r="79" spans="1:6" ht="17" customHeight="1" x14ac:dyDescent="0.15">
      <c r="B79" s="9"/>
      <c r="C79" s="9"/>
      <c r="D79" s="9"/>
      <c r="E79" s="9"/>
      <c r="F79" s="87"/>
    </row>
    <row r="80" spans="1:6" ht="17" customHeight="1" x14ac:dyDescent="0.15">
      <c r="B80" s="9"/>
      <c r="C80" s="9"/>
      <c r="D80" s="9"/>
      <c r="E80" s="9"/>
      <c r="F80" s="87"/>
    </row>
    <row r="81" spans="2:6" ht="17" customHeight="1" x14ac:dyDescent="0.15">
      <c r="B81" s="9"/>
      <c r="C81" s="9"/>
      <c r="D81" s="9"/>
      <c r="E81" s="9"/>
    </row>
    <row r="82" spans="2:6" ht="17" customHeight="1" x14ac:dyDescent="0.15">
      <c r="D82" s="42"/>
      <c r="E82" s="42"/>
    </row>
    <row r="83" spans="2:6" ht="17" customHeight="1" x14ac:dyDescent="0.15">
      <c r="D83" s="42"/>
      <c r="E83" s="42"/>
      <c r="F83" s="9"/>
    </row>
    <row r="84" spans="2:6" ht="17" customHeight="1" x14ac:dyDescent="0.15">
      <c r="D84" s="42"/>
      <c r="E84" s="42"/>
      <c r="F84" s="9"/>
    </row>
    <row r="85" spans="2:6" ht="17" customHeight="1" x14ac:dyDescent="0.15">
      <c r="D85" s="42"/>
      <c r="E85" s="42"/>
      <c r="F85" s="9"/>
    </row>
    <row r="86" spans="2:6" ht="17" customHeight="1" x14ac:dyDescent="0.15">
      <c r="F86" s="87"/>
    </row>
    <row r="87" spans="2:6" ht="17" customHeight="1" x14ac:dyDescent="0.15">
      <c r="F87" s="87"/>
    </row>
    <row r="88" spans="2:6" ht="17" customHeight="1" x14ac:dyDescent="0.15">
      <c r="B88" s="9"/>
      <c r="C88" s="9"/>
      <c r="D88" s="9"/>
      <c r="E88" s="9"/>
      <c r="F88" s="87"/>
    </row>
    <row r="89" spans="2:6" ht="17" customHeight="1" x14ac:dyDescent="0.15">
      <c r="B89" s="9"/>
      <c r="C89" s="9"/>
      <c r="D89" s="9"/>
      <c r="E89" s="9"/>
      <c r="F89" s="87"/>
    </row>
    <row r="90" spans="2:6" ht="17" customHeight="1" x14ac:dyDescent="0.15">
      <c r="B90" s="9"/>
      <c r="C90" s="9"/>
      <c r="D90" s="9"/>
      <c r="E90" s="9"/>
    </row>
    <row r="91" spans="2:6" ht="17" customHeight="1" x14ac:dyDescent="0.15">
      <c r="D91" s="42"/>
      <c r="E91" s="42"/>
    </row>
    <row r="92" spans="2:6" ht="17" customHeight="1" x14ac:dyDescent="0.15">
      <c r="D92" s="42"/>
      <c r="E92" s="42"/>
    </row>
    <row r="93" spans="2:6" ht="17" customHeight="1" x14ac:dyDescent="0.15">
      <c r="D93" s="42"/>
      <c r="E93" s="42"/>
    </row>
    <row r="94" spans="2:6" ht="17" customHeight="1" x14ac:dyDescent="0.15">
      <c r="D94" s="42"/>
      <c r="E94" s="42"/>
      <c r="F94" s="9"/>
    </row>
    <row r="95" spans="2:6" ht="17" customHeight="1" x14ac:dyDescent="0.15">
      <c r="B95" s="24"/>
      <c r="C95" s="84"/>
      <c r="F95" s="9"/>
    </row>
    <row r="96" spans="2:6" ht="17" customHeight="1" x14ac:dyDescent="0.15">
      <c r="B96" s="24"/>
      <c r="C96" s="24"/>
      <c r="D96" s="24"/>
      <c r="F96" s="9"/>
    </row>
    <row r="97" spans="2:6" ht="17" customHeight="1" x14ac:dyDescent="0.15">
      <c r="B97" s="24"/>
      <c r="C97" s="86"/>
      <c r="F97" s="87"/>
    </row>
    <row r="98" spans="2:6" ht="17" customHeight="1" x14ac:dyDescent="0.15">
      <c r="B98" s="24"/>
      <c r="C98" s="86"/>
      <c r="F98" s="87"/>
    </row>
    <row r="99" spans="2:6" ht="17" customHeight="1" x14ac:dyDescent="0.15">
      <c r="B99" s="9"/>
      <c r="C99" s="9"/>
      <c r="D99" s="9"/>
      <c r="E99" s="9"/>
      <c r="F99" s="87"/>
    </row>
    <row r="100" spans="2:6" ht="17" customHeight="1" x14ac:dyDescent="0.15">
      <c r="B100" s="9"/>
      <c r="C100" s="9"/>
      <c r="D100" s="9"/>
      <c r="E100" s="9"/>
      <c r="F100" s="87"/>
    </row>
    <row r="101" spans="2:6" ht="17" customHeight="1" x14ac:dyDescent="0.15">
      <c r="B101" s="9"/>
      <c r="C101" s="9"/>
      <c r="D101" s="9"/>
      <c r="E101" s="9"/>
    </row>
    <row r="102" spans="2:6" ht="17" customHeight="1" x14ac:dyDescent="0.15">
      <c r="D102" s="42"/>
      <c r="E102" s="42"/>
    </row>
    <row r="103" spans="2:6" ht="17" customHeight="1" x14ac:dyDescent="0.15">
      <c r="D103" s="42"/>
      <c r="E103" s="42"/>
      <c r="F103" s="9"/>
    </row>
    <row r="104" spans="2:6" ht="17" customHeight="1" x14ac:dyDescent="0.15">
      <c r="D104" s="42"/>
      <c r="E104" s="42"/>
      <c r="F104" s="9"/>
    </row>
    <row r="105" spans="2:6" ht="17" customHeight="1" x14ac:dyDescent="0.15">
      <c r="D105" s="42"/>
      <c r="E105" s="42"/>
      <c r="F105" s="9"/>
    </row>
    <row r="106" spans="2:6" ht="17" customHeight="1" x14ac:dyDescent="0.15">
      <c r="F106" s="87"/>
    </row>
    <row r="107" spans="2:6" ht="17" customHeight="1" x14ac:dyDescent="0.15">
      <c r="F107" s="87"/>
    </row>
    <row r="108" spans="2:6" ht="17" customHeight="1" x14ac:dyDescent="0.15">
      <c r="B108" s="9"/>
      <c r="C108" s="9"/>
      <c r="D108" s="9"/>
      <c r="E108" s="9"/>
      <c r="F108" s="87"/>
    </row>
    <row r="109" spans="2:6" ht="17" customHeight="1" x14ac:dyDescent="0.15">
      <c r="B109" s="9"/>
      <c r="C109" s="9"/>
      <c r="D109" s="9"/>
      <c r="E109" s="9"/>
      <c r="F109" s="87"/>
    </row>
    <row r="110" spans="2:6" ht="17" customHeight="1" x14ac:dyDescent="0.15">
      <c r="B110" s="9"/>
      <c r="C110" s="9"/>
      <c r="D110" s="9"/>
      <c r="E110" s="9"/>
    </row>
    <row r="111" spans="2:6" ht="17" customHeight="1" x14ac:dyDescent="0.15">
      <c r="D111" s="42"/>
      <c r="E111" s="42"/>
    </row>
    <row r="112" spans="2:6" ht="17" customHeight="1" x14ac:dyDescent="0.15">
      <c r="D112" s="42"/>
      <c r="E112" s="42"/>
    </row>
    <row r="113" spans="4:5" ht="17" customHeight="1" x14ac:dyDescent="0.15">
      <c r="D113" s="42"/>
      <c r="E113" s="42"/>
    </row>
    <row r="114" spans="4:5" ht="17" customHeight="1" x14ac:dyDescent="0.15">
      <c r="D114" s="42"/>
      <c r="E114" s="42"/>
    </row>
  </sheetData>
  <customSheetViews>
    <customSheetView guid="{AECF95C1-27BC-F14B-8EDE-44059DAFEC30}" scale="125">
      <selection activeCell="G52" sqref="G52"/>
      <pageMargins left="0.7" right="0.7" top="0.75" bottom="0.75" header="0.3" footer="0.3"/>
      <printOptions gridLines="1"/>
      <pageSetup orientation="portrait" horizontalDpi="4294967292" verticalDpi="4294967292"/>
    </customSheetView>
  </customSheetViews>
  <mergeCells count="2">
    <mergeCell ref="F48:G48"/>
    <mergeCell ref="H48:I48"/>
  </mergeCells>
  <printOptions gridLines="1"/>
  <pageMargins left="0.75" right="0.5" top="0.5" bottom="0.5"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4"/>
  <sheetViews>
    <sheetView tabSelected="1" topLeftCell="A35" zoomScale="125" zoomScaleNormal="125" zoomScalePageLayoutView="125" workbookViewId="0">
      <selection activeCell="B48" sqref="B48"/>
    </sheetView>
  </sheetViews>
  <sheetFormatPr baseColWidth="10" defaultColWidth="12.5" defaultRowHeight="13" x14ac:dyDescent="0.15"/>
  <cols>
    <col min="1" max="1" width="31.83203125" customWidth="1"/>
    <col min="11" max="11" width="24.6640625" customWidth="1"/>
  </cols>
  <sheetData>
    <row r="1" spans="1:23" ht="17" customHeight="1" x14ac:dyDescent="0.2">
      <c r="A1" s="1" t="s">
        <v>132</v>
      </c>
      <c r="B1" s="1"/>
      <c r="C1" s="2"/>
      <c r="D1" s="2"/>
      <c r="E1" s="2"/>
      <c r="F1" s="2"/>
      <c r="G1" s="2"/>
      <c r="H1" s="2"/>
      <c r="I1" s="2"/>
    </row>
    <row r="2" spans="1:23" s="3" customFormat="1" ht="17" customHeight="1" x14ac:dyDescent="0.2">
      <c r="B2" s="3" t="s">
        <v>0</v>
      </c>
      <c r="D2" s="4"/>
      <c r="E2" s="5"/>
    </row>
    <row r="3" spans="1:23" s="82" customFormat="1" ht="17" customHeight="1" x14ac:dyDescent="0.15">
      <c r="A3" s="2" t="s">
        <v>56</v>
      </c>
      <c r="D3" s="88"/>
      <c r="E3" s="89"/>
    </row>
    <row r="4" spans="1:23" ht="17" customHeight="1" x14ac:dyDescent="0.2">
      <c r="A4" s="3"/>
      <c r="B4" s="2"/>
      <c r="C4" s="3"/>
      <c r="D4" s="4"/>
      <c r="E4" s="5"/>
      <c r="F4" s="3"/>
      <c r="G4" s="3"/>
      <c r="H4" s="3"/>
      <c r="I4" s="3"/>
      <c r="J4" s="3"/>
    </row>
    <row r="5" spans="1:23" ht="17" customHeight="1" x14ac:dyDescent="0.2">
      <c r="A5" s="6" t="s">
        <v>2</v>
      </c>
      <c r="H5" s="48"/>
    </row>
    <row r="6" spans="1:23" ht="17" customHeight="1" x14ac:dyDescent="0.2">
      <c r="C6" s="6"/>
      <c r="F6" s="7"/>
      <c r="G6" s="7"/>
      <c r="H6" s="10"/>
      <c r="I6" s="10"/>
      <c r="J6" s="10"/>
      <c r="K6" s="10"/>
      <c r="L6" s="10"/>
      <c r="N6" s="11"/>
    </row>
    <row r="7" spans="1:23" ht="17" customHeight="1" x14ac:dyDescent="0.15">
      <c r="A7" s="12" t="s">
        <v>3</v>
      </c>
      <c r="B7" s="13" t="s">
        <v>4</v>
      </c>
      <c r="C7" s="13" t="s">
        <v>5</v>
      </c>
      <c r="D7" s="14" t="s">
        <v>6</v>
      </c>
      <c r="F7" s="15"/>
      <c r="G7" s="8"/>
      <c r="K7" s="9"/>
      <c r="L7" s="10"/>
      <c r="M7" s="10"/>
      <c r="N7" s="10"/>
      <c r="O7" s="10"/>
      <c r="P7" s="10"/>
      <c r="R7" s="9"/>
      <c r="S7" s="10"/>
      <c r="T7" s="10"/>
      <c r="U7" s="10"/>
      <c r="V7" s="10"/>
      <c r="W7" s="10"/>
    </row>
    <row r="8" spans="1:23" ht="17" customHeight="1" x14ac:dyDescent="0.15">
      <c r="A8" s="19" t="s">
        <v>7</v>
      </c>
      <c r="B8" s="90"/>
      <c r="C8" s="90"/>
      <c r="D8" s="14" t="s">
        <v>8</v>
      </c>
      <c r="F8" s="21"/>
      <c r="H8" s="24"/>
      <c r="K8" s="26"/>
      <c r="R8" s="26"/>
    </row>
    <row r="9" spans="1:23" ht="17" customHeight="1" x14ac:dyDescent="0.15">
      <c r="A9" s="19" t="s">
        <v>10</v>
      </c>
      <c r="B9" s="131">
        <f>'Family expenses'!B11</f>
        <v>882.22721186348269</v>
      </c>
      <c r="C9" s="131">
        <f>B9*12</f>
        <v>10586.726542361792</v>
      </c>
      <c r="D9" s="27">
        <f>C9/C20</f>
        <v>0.13923178003902884</v>
      </c>
      <c r="E9" s="84"/>
      <c r="F9" s="21"/>
      <c r="G9" s="23"/>
      <c r="H9" s="24"/>
      <c r="K9" s="26"/>
      <c r="O9" s="11"/>
      <c r="R9" s="26"/>
      <c r="V9" s="11"/>
    </row>
    <row r="10" spans="1:23" ht="17" customHeight="1" x14ac:dyDescent="0.15">
      <c r="A10" s="91" t="s">
        <v>11</v>
      </c>
      <c r="B10" s="131">
        <f>C10/12</f>
        <v>155.53684210526316</v>
      </c>
      <c r="C10" s="131">
        <f>'Family expenses'!B17</f>
        <v>1866.4421052631578</v>
      </c>
      <c r="D10" s="27">
        <f>C10/C20</f>
        <v>2.4546591962656662E-2</v>
      </c>
      <c r="F10" s="30"/>
      <c r="G10" s="31"/>
      <c r="H10" s="24"/>
      <c r="K10" s="26"/>
      <c r="O10" s="11"/>
      <c r="P10" s="32"/>
      <c r="R10" s="26"/>
      <c r="V10" s="11"/>
      <c r="W10" s="32"/>
    </row>
    <row r="11" spans="1:23" ht="17" customHeight="1" x14ac:dyDescent="0.15">
      <c r="A11" s="19" t="s">
        <v>104</v>
      </c>
      <c r="B11" s="131">
        <f>'Family expenses'!B27</f>
        <v>2021.2360837532581</v>
      </c>
      <c r="C11" s="131">
        <f>B11*12</f>
        <v>24254.833005039098</v>
      </c>
      <c r="D11" s="27">
        <f>C11/C20</f>
        <v>0.31898845788904229</v>
      </c>
      <c r="F11" s="21"/>
      <c r="G11" s="24"/>
      <c r="H11" s="24"/>
      <c r="K11" s="26"/>
      <c r="O11" s="11"/>
      <c r="P11" s="32"/>
      <c r="R11" s="26"/>
      <c r="V11" s="11"/>
      <c r="W11" s="32"/>
    </row>
    <row r="12" spans="1:23" ht="17" customHeight="1" x14ac:dyDescent="0.15">
      <c r="A12" s="91" t="s">
        <v>12</v>
      </c>
      <c r="B12" s="131">
        <f>C12/12</f>
        <v>544.18330194601378</v>
      </c>
      <c r="C12" s="131">
        <f>'Family expenses'!B35</f>
        <v>6530.199623352165</v>
      </c>
      <c r="D12" s="27">
        <f>C12/C20</f>
        <v>8.5882195401136882E-2</v>
      </c>
      <c r="F12" s="30"/>
      <c r="H12" s="24"/>
      <c r="K12" s="26"/>
      <c r="O12" s="11"/>
      <c r="P12" s="32"/>
      <c r="R12" s="26"/>
      <c r="V12" s="11"/>
      <c r="W12" s="32"/>
    </row>
    <row r="13" spans="1:23" ht="17" customHeight="1" x14ac:dyDescent="0.15">
      <c r="A13" s="19" t="s">
        <v>96</v>
      </c>
      <c r="B13" s="131">
        <f>C13/12</f>
        <v>782.47409669243427</v>
      </c>
      <c r="C13" s="131">
        <f>0.754*(C9+C10)</f>
        <v>9389.6891603092117</v>
      </c>
      <c r="D13" s="27">
        <f>C13/C20</f>
        <v>0.12348889248927088</v>
      </c>
      <c r="F13" s="21"/>
      <c r="G13" s="24"/>
      <c r="H13" s="24"/>
      <c r="K13" s="26"/>
      <c r="M13" s="10"/>
      <c r="O13" s="11"/>
      <c r="P13" s="32"/>
      <c r="R13" s="26"/>
      <c r="T13" s="10"/>
      <c r="V13" s="11"/>
      <c r="W13" s="32"/>
    </row>
    <row r="14" spans="1:23" s="41" customFormat="1" ht="17" customHeight="1" x14ac:dyDescent="0.15">
      <c r="A14" s="39" t="s">
        <v>13</v>
      </c>
      <c r="B14" s="187"/>
      <c r="C14" s="187">
        <f>SUM(C9:C13)</f>
        <v>52627.890436325426</v>
      </c>
      <c r="D14" s="40">
        <f>C14/C20</f>
        <v>0.69213791778113554</v>
      </c>
      <c r="E14"/>
      <c r="F14" s="15"/>
      <c r="G14" s="92"/>
      <c r="H14" s="24"/>
      <c r="I14"/>
      <c r="J14"/>
      <c r="K14" s="26"/>
      <c r="L14"/>
      <c r="M14"/>
      <c r="N14"/>
      <c r="O14" s="11"/>
      <c r="P14" s="32"/>
      <c r="R14" s="26"/>
      <c r="S14"/>
      <c r="T14"/>
      <c r="U14"/>
      <c r="V14" s="11"/>
      <c r="W14" s="32"/>
    </row>
    <row r="15" spans="1:23" ht="17" customHeight="1" x14ac:dyDescent="0.15">
      <c r="A15" s="93" t="s">
        <v>14</v>
      </c>
      <c r="B15" s="131">
        <f>C15/12</f>
        <v>1400.6666666666667</v>
      </c>
      <c r="C15" s="131">
        <f>'Family expenses'!B47</f>
        <v>16808</v>
      </c>
      <c r="D15" s="27">
        <f>C15/C20</f>
        <v>0.22105111995968493</v>
      </c>
      <c r="F15" s="21"/>
      <c r="G15" s="23"/>
      <c r="H15" s="42"/>
      <c r="I15" s="42"/>
      <c r="K15" s="26"/>
      <c r="M15" s="10"/>
      <c r="O15" s="11"/>
      <c r="P15" s="32"/>
      <c r="R15" s="26"/>
      <c r="T15" s="10"/>
      <c r="V15" s="11"/>
      <c r="W15" s="32"/>
    </row>
    <row r="16" spans="1:23" ht="17" customHeight="1" x14ac:dyDescent="0.15">
      <c r="A16" s="19" t="s">
        <v>97</v>
      </c>
      <c r="B16" s="131">
        <f>'Family expenses'!B53</f>
        <v>151</v>
      </c>
      <c r="C16" s="131">
        <f>B16*12</f>
        <v>1812</v>
      </c>
      <c r="D16" s="27">
        <f>C16/C20</f>
        <v>2.3830594322164986E-2</v>
      </c>
      <c r="F16" s="17"/>
      <c r="G16" s="23"/>
      <c r="K16" s="26"/>
      <c r="L16" s="42"/>
      <c r="O16" s="11"/>
      <c r="P16" s="32"/>
      <c r="R16" s="26"/>
      <c r="S16" s="42"/>
      <c r="V16" s="11"/>
      <c r="W16" s="32"/>
    </row>
    <row r="17" spans="1:28" ht="17" customHeight="1" x14ac:dyDescent="0.15">
      <c r="A17" s="19" t="s">
        <v>15</v>
      </c>
      <c r="B17" s="131">
        <f>IF((N29-3000-MAX(0,2*3000-N27/2))&gt;42000,75,IF((N29-3000-MAX(0,2*3000-N27/2))&gt;38000,65,IF((N29-3000-MAX(0,2*3000-N27/2))&gt;34000,56,IF((N29-3000-MAX(0,2*3000-N27/2))&gt;30000,46,IF((N29-3000-MAX(0,2*3000-N27/2))&gt;28000,35,IF((N29-3000-MAX(0,2*3000-N27/2))&gt;26000,23,0))))))</f>
        <v>75</v>
      </c>
      <c r="C17" s="131">
        <f>B17*12</f>
        <v>900</v>
      </c>
      <c r="D17" s="27">
        <f>C17/C20</f>
        <v>1.1836387908360092E-2</v>
      </c>
      <c r="F17" s="21"/>
      <c r="G17" s="23"/>
      <c r="K17" s="26"/>
      <c r="M17" s="2"/>
      <c r="O17" s="11"/>
      <c r="P17" s="32"/>
      <c r="R17" s="26"/>
      <c r="T17" s="2"/>
      <c r="V17" s="11"/>
      <c r="W17" s="32"/>
    </row>
    <row r="18" spans="1:28" ht="17" customHeight="1" x14ac:dyDescent="0.15">
      <c r="A18" s="19" t="s">
        <v>99</v>
      </c>
      <c r="B18" s="131">
        <f>C18/12</f>
        <v>227.5</v>
      </c>
      <c r="C18" s="131">
        <f>B47*B48*2+C47*C48*2</f>
        <v>2730</v>
      </c>
      <c r="D18" s="27">
        <f>C18/C20</f>
        <v>3.590370998869228E-2</v>
      </c>
      <c r="F18" s="21"/>
      <c r="G18" s="23"/>
      <c r="H18" s="2"/>
      <c r="I18" s="2"/>
      <c r="K18" s="26"/>
      <c r="O18" s="11"/>
      <c r="P18" s="32"/>
      <c r="R18" s="26"/>
      <c r="V18" s="11"/>
      <c r="W18" s="32"/>
    </row>
    <row r="19" spans="1:28" ht="17" customHeight="1" x14ac:dyDescent="0.15">
      <c r="A19" s="19" t="s">
        <v>16</v>
      </c>
      <c r="B19" s="131">
        <f>C19/12</f>
        <v>96.568333333333342</v>
      </c>
      <c r="C19" s="131">
        <f>'Family expenses'!B59</f>
        <v>1158.8200000000002</v>
      </c>
      <c r="D19" s="27">
        <f>C19/C20</f>
        <v>1.524027003996205E-2</v>
      </c>
      <c r="F19" s="21"/>
      <c r="G19" s="45"/>
      <c r="I19" s="2"/>
      <c r="K19" s="26"/>
      <c r="L19" s="2"/>
      <c r="M19" s="2"/>
      <c r="O19" s="11"/>
      <c r="Q19" s="26"/>
      <c r="R19" s="2"/>
      <c r="S19" s="2"/>
      <c r="U19" s="11"/>
      <c r="V19" s="32"/>
    </row>
    <row r="20" spans="1:28" ht="17" customHeight="1" x14ac:dyDescent="0.15">
      <c r="A20" s="19" t="s">
        <v>17</v>
      </c>
      <c r="B20" s="131">
        <f>SUM(B8:B19)</f>
        <v>6336.3925363604531</v>
      </c>
      <c r="C20" s="131">
        <f>SUM(C9:C19)-C14</f>
        <v>76036.710436325433</v>
      </c>
      <c r="D20" s="27">
        <f>C20/C20</f>
        <v>1</v>
      </c>
      <c r="F20" s="17"/>
      <c r="G20" s="36"/>
      <c r="I20" s="2"/>
      <c r="K20" s="26"/>
      <c r="L20" s="2"/>
      <c r="O20" s="11"/>
      <c r="Q20" s="26"/>
      <c r="R20" s="2"/>
      <c r="U20" s="11"/>
      <c r="V20" s="32"/>
    </row>
    <row r="21" spans="1:28" ht="17" customHeight="1" x14ac:dyDescent="0.15">
      <c r="A21" s="7"/>
      <c r="B21" s="23"/>
      <c r="C21" s="23"/>
      <c r="D21" s="23"/>
      <c r="F21" s="23"/>
      <c r="G21" s="23"/>
      <c r="I21" s="2"/>
      <c r="K21" s="26"/>
      <c r="L21" s="2"/>
      <c r="N21" s="24"/>
      <c r="O21" s="11"/>
      <c r="Q21" s="26"/>
      <c r="R21" s="2"/>
      <c r="U21" s="11"/>
      <c r="V21" s="32"/>
    </row>
    <row r="22" spans="1:28" ht="17" customHeight="1" x14ac:dyDescent="0.15">
      <c r="A22" s="7"/>
      <c r="B22" s="23"/>
      <c r="C22" s="23"/>
      <c r="D22" s="23"/>
      <c r="E22" s="23"/>
      <c r="F22" s="23"/>
      <c r="G22" s="23"/>
      <c r="H22" s="37"/>
      <c r="I22" s="23"/>
      <c r="J22" s="34"/>
      <c r="K22" s="24"/>
      <c r="L22" s="26"/>
      <c r="N22" s="2"/>
      <c r="P22" s="2"/>
      <c r="S22" s="11"/>
      <c r="T22" s="32"/>
      <c r="V22" s="26"/>
      <c r="W22" s="2"/>
      <c r="Z22" s="11"/>
      <c r="AA22" s="32"/>
    </row>
    <row r="23" spans="1:28" ht="17" customHeight="1" x14ac:dyDescent="0.2">
      <c r="A23" s="6" t="s">
        <v>18</v>
      </c>
      <c r="K23" s="6" t="s">
        <v>57</v>
      </c>
      <c r="L23" s="26"/>
      <c r="N23" s="2"/>
      <c r="P23" s="2"/>
      <c r="S23" s="11"/>
      <c r="T23" s="32"/>
      <c r="V23" s="26"/>
      <c r="W23" s="2"/>
      <c r="Z23" s="11"/>
      <c r="AA23" s="32"/>
    </row>
    <row r="24" spans="1:28" ht="17" customHeight="1" x14ac:dyDescent="0.2">
      <c r="C24" s="6"/>
      <c r="L24" s="26"/>
      <c r="N24" s="2"/>
      <c r="P24" s="2"/>
      <c r="Q24" s="2"/>
      <c r="R24" s="10"/>
      <c r="S24" s="50"/>
      <c r="T24" s="51"/>
      <c r="V24" s="49"/>
      <c r="W24" s="2"/>
      <c r="X24" s="2"/>
      <c r="Y24" s="10"/>
      <c r="Z24" s="50"/>
      <c r="AA24" s="51"/>
    </row>
    <row r="25" spans="1:28" ht="17" customHeight="1" x14ac:dyDescent="0.15">
      <c r="A25" s="94" t="s">
        <v>9</v>
      </c>
      <c r="B25" s="95" t="s">
        <v>4</v>
      </c>
      <c r="C25" s="95" t="s">
        <v>5</v>
      </c>
      <c r="D25" s="9"/>
      <c r="E25" s="53" t="s">
        <v>58</v>
      </c>
      <c r="F25" s="53" t="s">
        <v>90</v>
      </c>
      <c r="G25" s="53" t="s">
        <v>91</v>
      </c>
      <c r="H25" s="54" t="s">
        <v>103</v>
      </c>
      <c r="I25" s="9"/>
      <c r="K25" s="12" t="s">
        <v>109</v>
      </c>
      <c r="L25" s="13" t="s">
        <v>30</v>
      </c>
      <c r="M25" s="13" t="s">
        <v>31</v>
      </c>
      <c r="N25" s="13" t="s">
        <v>17</v>
      </c>
      <c r="P25" s="49"/>
      <c r="Q25" s="71"/>
      <c r="R25" s="71"/>
      <c r="S25" s="63"/>
      <c r="T25" s="50"/>
      <c r="U25" s="51"/>
      <c r="W25" s="49"/>
      <c r="X25" s="2"/>
      <c r="Y25" s="2"/>
      <c r="Z25" s="10"/>
      <c r="AA25" s="50"/>
      <c r="AB25" s="51"/>
    </row>
    <row r="26" spans="1:28" ht="17" customHeight="1" x14ac:dyDescent="0.15">
      <c r="A26" s="19" t="s">
        <v>137</v>
      </c>
      <c r="B26" s="128">
        <f>C26/12</f>
        <v>630.63133333333315</v>
      </c>
      <c r="C26" s="128">
        <f>MAX(0,E26)</f>
        <v>7567.5759999999982</v>
      </c>
      <c r="D26" s="55"/>
      <c r="E26" s="62">
        <f>IF(N29&lt;F26,(5481+6496),IF(N29&lt;G26,(5481+6496-(N29-F26)*0.135),(5481+6496-(G26-F26)*0.135-(N29-G26)*0.057)))</f>
        <v>7567.5759999999982</v>
      </c>
      <c r="F26" s="57">
        <v>30450</v>
      </c>
      <c r="G26" s="57">
        <v>65976</v>
      </c>
      <c r="H26" s="143">
        <f>(5481+6496-(G26-F26)*0.135)/0.057+G26</f>
        <v>191958.28070175438</v>
      </c>
      <c r="K26" s="19" t="s">
        <v>59</v>
      </c>
      <c r="L26" s="125">
        <v>38056.200000000004</v>
      </c>
      <c r="M26" s="125">
        <v>38056.200000000004</v>
      </c>
      <c r="N26" s="125">
        <f>M26+L26</f>
        <v>76112.400000000009</v>
      </c>
      <c r="P26" s="26"/>
      <c r="Q26" s="71"/>
      <c r="R26" s="24"/>
      <c r="S26" s="24"/>
      <c r="T26" s="11"/>
      <c r="U26" s="32"/>
      <c r="W26" s="26"/>
      <c r="X26" s="2"/>
      <c r="AA26" s="11"/>
      <c r="AB26" s="32"/>
    </row>
    <row r="27" spans="1:28" ht="17" customHeight="1" x14ac:dyDescent="0.15">
      <c r="A27" s="19" t="s">
        <v>133</v>
      </c>
      <c r="B27" s="128">
        <v>55</v>
      </c>
      <c r="C27" s="128">
        <f>12*B27</f>
        <v>660</v>
      </c>
      <c r="D27" s="58"/>
      <c r="E27" s="62"/>
      <c r="F27" s="57"/>
      <c r="G27" s="57"/>
      <c r="H27" s="143"/>
      <c r="K27" s="19" t="s">
        <v>60</v>
      </c>
      <c r="L27" s="125">
        <v>13000</v>
      </c>
      <c r="M27" s="125"/>
      <c r="N27" s="125">
        <f>SUM(L27:M27)</f>
        <v>13000</v>
      </c>
      <c r="P27" s="26"/>
      <c r="Q27" s="71"/>
      <c r="R27" s="24"/>
      <c r="S27" s="24"/>
      <c r="T27" s="11"/>
      <c r="U27" s="32"/>
      <c r="W27" s="26"/>
      <c r="X27" s="2"/>
      <c r="AA27" s="11"/>
      <c r="AB27" s="32"/>
    </row>
    <row r="28" spans="1:28" ht="17" customHeight="1" x14ac:dyDescent="0.15">
      <c r="A28" s="19" t="s">
        <v>134</v>
      </c>
      <c r="B28" s="128">
        <f>(C28)/12</f>
        <v>0</v>
      </c>
      <c r="C28" s="128">
        <f>MAX(0,E28)</f>
        <v>0</v>
      </c>
      <c r="D28" s="58"/>
      <c r="E28" s="34">
        <f>IF(N29&lt;F28,2*(284+149),2*(284+149)-(N29-F28)*0.05)</f>
        <v>-440.82000000000062</v>
      </c>
      <c r="F28" s="61">
        <v>36976</v>
      </c>
      <c r="G28" s="61">
        <f>(284*2+149*2)/0.05+F28</f>
        <v>54296</v>
      </c>
      <c r="H28" s="148"/>
      <c r="I28" s="24"/>
      <c r="K28" s="19" t="s">
        <v>61</v>
      </c>
      <c r="L28" s="125">
        <f>-L27</f>
        <v>-13000</v>
      </c>
      <c r="M28" s="125"/>
      <c r="N28" s="125">
        <f>SUM(L28:M28)</f>
        <v>-13000</v>
      </c>
      <c r="P28" s="26"/>
      <c r="Q28" s="71"/>
      <c r="R28" s="24"/>
      <c r="S28" s="24"/>
      <c r="T28" s="11"/>
      <c r="U28" s="32"/>
      <c r="W28" s="26"/>
      <c r="X28" s="2"/>
      <c r="AA28" s="11"/>
      <c r="AB28" s="32"/>
    </row>
    <row r="29" spans="1:28" ht="17" customHeight="1" x14ac:dyDescent="0.15">
      <c r="A29" s="91" t="s">
        <v>135</v>
      </c>
      <c r="B29" s="131">
        <v>0</v>
      </c>
      <c r="C29" s="131">
        <f>12*B29</f>
        <v>0</v>
      </c>
      <c r="D29" s="34" t="s">
        <v>92</v>
      </c>
      <c r="F29" s="33"/>
      <c r="G29" s="34"/>
      <c r="H29" s="24"/>
      <c r="I29" s="24"/>
      <c r="K29" s="19" t="s">
        <v>62</v>
      </c>
      <c r="L29" s="125">
        <f>L26+L28</f>
        <v>25056.200000000004</v>
      </c>
      <c r="M29" s="125">
        <f>M26+M28</f>
        <v>38056.200000000004</v>
      </c>
      <c r="N29" s="125">
        <f>L29+M29</f>
        <v>63112.400000000009</v>
      </c>
      <c r="P29" s="96"/>
      <c r="Q29" s="71"/>
      <c r="R29" s="24"/>
      <c r="S29" s="24"/>
      <c r="T29" s="11"/>
      <c r="U29" s="32"/>
      <c r="W29" s="26"/>
      <c r="X29" s="2"/>
      <c r="AA29" s="11"/>
      <c r="AB29" s="32"/>
    </row>
    <row r="30" spans="1:28" ht="17" customHeight="1" x14ac:dyDescent="0.15">
      <c r="A30" s="19" t="s">
        <v>107</v>
      </c>
      <c r="B30" s="128">
        <f>C30/3</f>
        <v>0</v>
      </c>
      <c r="C30" s="128">
        <f>MAX(0,E30)</f>
        <v>0</v>
      </c>
      <c r="D30" s="55"/>
      <c r="E30" s="62">
        <f>0.5*IF(N29&lt;F30,2*(135+40),2*(135+40)-(N29-F30)*0.02)</f>
        <v>-59.544000000000096</v>
      </c>
      <c r="F30" s="61">
        <v>39658</v>
      </c>
      <c r="G30" s="61">
        <f>(135+135+40+40)/0.02+F30</f>
        <v>57158</v>
      </c>
      <c r="H30" s="24"/>
      <c r="I30" s="24"/>
      <c r="K30" s="19" t="s">
        <v>63</v>
      </c>
      <c r="L30" s="125">
        <v>620.31605999999999</v>
      </c>
      <c r="M30" s="125">
        <v>620.31605999999999</v>
      </c>
      <c r="N30" s="125">
        <f t="shared" ref="N30:N34" si="0">L30+M30</f>
        <v>1240.63212</v>
      </c>
      <c r="P30" s="26"/>
      <c r="Q30" s="71"/>
      <c r="R30" s="24"/>
      <c r="S30" s="24"/>
      <c r="T30" s="11"/>
      <c r="U30" s="32"/>
      <c r="W30" s="26"/>
      <c r="X30" s="2"/>
      <c r="AA30" s="11"/>
      <c r="AB30" s="32"/>
    </row>
    <row r="31" spans="1:28" ht="17" customHeight="1" x14ac:dyDescent="0.15">
      <c r="A31" s="19" t="s">
        <v>108</v>
      </c>
      <c r="B31" s="128">
        <f>C31/9</f>
        <v>0</v>
      </c>
      <c r="C31" s="128">
        <f>MAX(0,E31)</f>
        <v>0</v>
      </c>
      <c r="D31" s="34"/>
      <c r="E31" s="62">
        <f>0.5*IF(N29&lt;F31,2*(154.5+45.5),2*(154.5+45.5)-(N29-F31)*0.02)</f>
        <v>-24.234000000000094</v>
      </c>
      <c r="F31" s="61">
        <v>40689</v>
      </c>
      <c r="G31" s="61">
        <f>2*(154.5+45.5)/0.02+F31</f>
        <v>60689</v>
      </c>
      <c r="H31" s="24"/>
      <c r="J31" s="24"/>
      <c r="K31" s="19" t="s">
        <v>64</v>
      </c>
      <c r="L31" s="125">
        <v>1710.5319000000004</v>
      </c>
      <c r="M31" s="125">
        <v>1710.5319000000004</v>
      </c>
      <c r="N31" s="125">
        <f t="shared" si="0"/>
        <v>3421.0638000000008</v>
      </c>
      <c r="P31" s="145"/>
      <c r="Q31" s="71"/>
      <c r="R31" s="24"/>
      <c r="S31" s="24"/>
      <c r="T31" s="11"/>
      <c r="U31" s="32"/>
      <c r="W31" s="26"/>
      <c r="X31" s="2"/>
      <c r="AA31" s="11"/>
      <c r="AB31" s="32"/>
    </row>
    <row r="32" spans="1:28" ht="17" customHeight="1" x14ac:dyDescent="0.15">
      <c r="A32" s="19" t="s">
        <v>113</v>
      </c>
      <c r="B32" s="131">
        <f>C32/12</f>
        <v>584.44749999999999</v>
      </c>
      <c r="C32" s="131">
        <f>MIN('Family expenses'!B42,J40*12)+MIN('Family expenses'!B43,J41*10)+MIN('Family expenses'!B44,6/20*J42)+MIN('Family expenses'!B45,15/20*J42)+MIN('Family expenses'!B46,J42*1.5)</f>
        <v>7013.37</v>
      </c>
      <c r="H32" s="24"/>
      <c r="I32" s="24"/>
      <c r="K32" s="19" t="s">
        <v>65</v>
      </c>
      <c r="L32" s="125">
        <v>1333.2057060000006</v>
      </c>
      <c r="M32" s="125">
        <v>3273.8778060000004</v>
      </c>
      <c r="N32" s="125">
        <f t="shared" si="0"/>
        <v>4607.0835120000011</v>
      </c>
      <c r="P32" s="26"/>
      <c r="Q32" s="71"/>
      <c r="R32" s="24"/>
      <c r="S32" s="24"/>
      <c r="T32" s="11"/>
      <c r="U32" s="32"/>
      <c r="W32" s="26"/>
      <c r="X32" s="2"/>
      <c r="AA32" s="11"/>
      <c r="AB32" s="32"/>
    </row>
    <row r="33" spans="1:28" ht="17" customHeight="1" x14ac:dyDescent="0.15">
      <c r="A33" s="19" t="s">
        <v>17</v>
      </c>
      <c r="B33" s="128">
        <f>C33/12</f>
        <v>1270.078833333333</v>
      </c>
      <c r="C33" s="128">
        <f>SUM(C26:C32)</f>
        <v>15240.945999999996</v>
      </c>
      <c r="D33" s="33" t="s">
        <v>93</v>
      </c>
      <c r="E33" s="48"/>
      <c r="I33" s="24"/>
      <c r="K33" s="19" t="s">
        <v>66</v>
      </c>
      <c r="L33" s="125">
        <v>326.48404482400053</v>
      </c>
      <c r="M33" s="125">
        <v>1182.3627132240003</v>
      </c>
      <c r="N33" s="125">
        <f t="shared" si="0"/>
        <v>1508.846758048001</v>
      </c>
      <c r="P33" s="26"/>
      <c r="Q33" s="24"/>
      <c r="R33" s="24"/>
      <c r="S33" s="24"/>
      <c r="T33" s="11"/>
      <c r="W33" s="26"/>
      <c r="AA33" s="11"/>
    </row>
    <row r="34" spans="1:28" ht="17" customHeight="1" x14ac:dyDescent="0.15">
      <c r="A34" s="114"/>
      <c r="B34" s="81"/>
      <c r="C34" s="81"/>
      <c r="E34" s="48"/>
      <c r="I34" s="24"/>
      <c r="K34" s="19" t="s">
        <v>67</v>
      </c>
      <c r="L34" s="125">
        <f>L26-SUM(L30:L33)</f>
        <v>34065.662289176005</v>
      </c>
      <c r="M34" s="125">
        <f>M26-SUM(M30:M33)</f>
        <v>31269.111520776001</v>
      </c>
      <c r="N34" s="125">
        <f t="shared" si="0"/>
        <v>65334.773809952007</v>
      </c>
      <c r="P34" s="26"/>
      <c r="Q34" s="71"/>
      <c r="R34" s="24"/>
      <c r="S34" s="24"/>
      <c r="T34" s="11"/>
      <c r="U34" s="32"/>
      <c r="W34" s="26"/>
      <c r="X34" s="2"/>
      <c r="AA34" s="11"/>
      <c r="AB34" s="32"/>
    </row>
    <row r="35" spans="1:28" ht="17" customHeight="1" x14ac:dyDescent="0.15">
      <c r="A35" s="114"/>
      <c r="B35" s="81"/>
      <c r="C35" s="81"/>
      <c r="E35" s="48"/>
      <c r="I35" s="24"/>
      <c r="K35" s="114"/>
      <c r="L35" s="160"/>
      <c r="M35" s="160"/>
      <c r="N35" s="160"/>
      <c r="P35" s="26"/>
      <c r="Q35" s="71"/>
      <c r="R35" s="24"/>
      <c r="S35" s="24"/>
      <c r="T35" s="11"/>
      <c r="U35" s="32"/>
      <c r="W35" s="26"/>
      <c r="X35" s="2"/>
      <c r="AA35" s="11"/>
      <c r="AB35" s="32"/>
    </row>
    <row r="36" spans="1:28" ht="17" customHeight="1" x14ac:dyDescent="0.2">
      <c r="A36" s="6" t="s">
        <v>23</v>
      </c>
      <c r="K36" s="114"/>
      <c r="L36" s="160"/>
      <c r="M36" s="160"/>
      <c r="N36" s="160"/>
      <c r="P36" s="26"/>
      <c r="Q36" s="71"/>
      <c r="R36" s="24"/>
      <c r="S36" s="24"/>
      <c r="T36" s="11"/>
      <c r="U36" s="32"/>
      <c r="W36" s="26"/>
      <c r="X36" s="2"/>
      <c r="AA36" s="11"/>
      <c r="AB36" s="32"/>
    </row>
    <row r="37" spans="1:28" ht="17" customHeight="1" x14ac:dyDescent="0.2">
      <c r="A37" s="3"/>
      <c r="K37" s="7"/>
      <c r="L37" s="97"/>
      <c r="M37" s="23"/>
      <c r="N37" s="98"/>
      <c r="P37" s="26"/>
      <c r="Q37" s="63"/>
      <c r="R37" s="63"/>
      <c r="S37" s="24"/>
      <c r="W37" s="26"/>
      <c r="X37" s="10"/>
      <c r="Y37" s="10"/>
    </row>
    <row r="38" spans="1:28" ht="17" customHeight="1" x14ac:dyDescent="0.2">
      <c r="A38" s="64"/>
      <c r="B38" s="13"/>
      <c r="C38" s="13" t="s">
        <v>5</v>
      </c>
      <c r="D38" s="9"/>
      <c r="E38" s="173" t="s">
        <v>113</v>
      </c>
      <c r="F38" s="174"/>
      <c r="G38" s="174"/>
      <c r="H38" s="175"/>
      <c r="K38" s="145"/>
    </row>
    <row r="39" spans="1:28" ht="17" customHeight="1" x14ac:dyDescent="0.15">
      <c r="A39" s="19" t="s">
        <v>24</v>
      </c>
      <c r="B39" s="20"/>
      <c r="C39" s="128">
        <f>C33+D58</f>
        <v>76054.101856139998</v>
      </c>
      <c r="E39" s="172" t="s">
        <v>25</v>
      </c>
      <c r="F39" s="172" t="s">
        <v>26</v>
      </c>
      <c r="G39" s="172" t="s">
        <v>90</v>
      </c>
      <c r="H39" s="172" t="s">
        <v>91</v>
      </c>
      <c r="I39" s="14" t="s">
        <v>114</v>
      </c>
      <c r="J39" s="66" t="s">
        <v>27</v>
      </c>
      <c r="M39" s="146"/>
      <c r="O39" s="84"/>
    </row>
    <row r="40" spans="1:28" ht="17" customHeight="1" x14ac:dyDescent="0.15">
      <c r="A40" s="19" t="s">
        <v>28</v>
      </c>
      <c r="B40" s="20"/>
      <c r="C40" s="128">
        <f>C20</f>
        <v>76036.710436325433</v>
      </c>
      <c r="E40" s="14">
        <v>4</v>
      </c>
      <c r="F40" s="14">
        <v>550</v>
      </c>
      <c r="G40" s="165">
        <v>45000</v>
      </c>
      <c r="H40" s="165">
        <v>60000</v>
      </c>
      <c r="I40" s="165">
        <v>80000</v>
      </c>
      <c r="J40" s="67">
        <f>IF((N26-4000)&lt;G40,F40,IF((N26-4000)&lt;H40,F40*(1-(N26-4000-G40)*0.272/15000),IF((N26-4000)&lt;I40,0.728*F40,IF((N26-4000)&lt;111000,0.728*F40*(1-(N26-4000-I40)/31000),0))))</f>
        <v>400.4</v>
      </c>
      <c r="L40" s="24"/>
      <c r="M40" s="24"/>
      <c r="N40" s="24"/>
      <c r="O40" s="24"/>
    </row>
    <row r="41" spans="1:28" ht="17" customHeight="1" x14ac:dyDescent="0.15">
      <c r="A41" s="19" t="s">
        <v>29</v>
      </c>
      <c r="B41" s="20"/>
      <c r="C41" s="128">
        <f>C39-C40</f>
        <v>17.39141981456487</v>
      </c>
      <c r="E41" s="14" t="s">
        <v>111</v>
      </c>
      <c r="F41" s="14">
        <v>210</v>
      </c>
      <c r="G41" s="165">
        <v>45000</v>
      </c>
      <c r="H41" s="165">
        <v>60000</v>
      </c>
      <c r="I41" s="165">
        <v>80000</v>
      </c>
      <c r="J41" s="67">
        <f>IF((N26-4000)&lt;G41,F41,IF((N26-4000)&lt;H41,F41*(1-(N26-4000-G41)*0.272/15000),IF((N26-4000)&lt;I41,0.728*F41,IF((N26-4000)&lt;111000,0.728*F41*(1-(N26-4000-I41)/31000),0))))</f>
        <v>152.88</v>
      </c>
      <c r="L41" s="24"/>
      <c r="M41" s="24"/>
      <c r="N41" s="24"/>
      <c r="O41" s="24"/>
      <c r="Q41" s="9"/>
      <c r="R41" s="10"/>
      <c r="S41" s="10"/>
      <c r="T41" s="10"/>
      <c r="U41" s="63"/>
      <c r="X41" s="9"/>
      <c r="Y41" s="10"/>
      <c r="Z41" s="10"/>
      <c r="AA41" s="10"/>
      <c r="AB41" s="63"/>
    </row>
    <row r="42" spans="1:28" ht="17" customHeight="1" x14ac:dyDescent="0.15">
      <c r="A42" s="7"/>
      <c r="B42" s="23"/>
      <c r="C42" s="23"/>
      <c r="E42" s="14" t="s">
        <v>112</v>
      </c>
      <c r="F42" s="14">
        <v>415</v>
      </c>
      <c r="G42" s="165">
        <v>45000</v>
      </c>
      <c r="H42" s="165">
        <v>60000</v>
      </c>
      <c r="I42" s="165">
        <v>80000</v>
      </c>
      <c r="J42" s="67">
        <f>IF((N26-4000)&lt;G42,F42,IF((N26-4000)&lt;H42,F42*(1-(N26-4000-G42)*0.272/15000),IF((N26-4000)&lt;I42,0.728*F42,IF((N26-4000)&lt;111000,0.728*F42*(1-(N26-4000-I42)/31000),0))))</f>
        <v>302.12</v>
      </c>
      <c r="L42" s="24"/>
      <c r="M42" s="24"/>
    </row>
    <row r="43" spans="1:28" ht="17" customHeight="1" x14ac:dyDescent="0.15">
      <c r="A43" s="68"/>
      <c r="B43" s="68"/>
      <c r="C43" s="68"/>
      <c r="D43" s="68"/>
      <c r="E43" s="34" t="s">
        <v>131</v>
      </c>
      <c r="F43" s="68"/>
      <c r="J43" s="24"/>
      <c r="K43" s="168"/>
      <c r="L43" s="24"/>
    </row>
    <row r="44" spans="1:28" ht="17" customHeight="1" x14ac:dyDescent="0.2">
      <c r="A44" s="169" t="s">
        <v>128</v>
      </c>
      <c r="B44" s="68"/>
      <c r="C44" s="68"/>
      <c r="D44" s="68"/>
      <c r="E44" s="68"/>
      <c r="J44" s="24"/>
      <c r="K44" s="24"/>
      <c r="L44" s="24"/>
    </row>
    <row r="45" spans="1:28" ht="17" customHeight="1" x14ac:dyDescent="0.15">
      <c r="A45" s="68"/>
      <c r="B45" s="99"/>
      <c r="C45" s="68"/>
      <c r="D45" s="68"/>
      <c r="E45" s="68"/>
      <c r="F45" s="68"/>
      <c r="K45" s="24"/>
      <c r="L45" s="24"/>
      <c r="M45" s="24"/>
    </row>
    <row r="46" spans="1:28" ht="17" customHeight="1" x14ac:dyDescent="0.15">
      <c r="A46" s="95"/>
      <c r="B46" s="95" t="s">
        <v>30</v>
      </c>
      <c r="C46" s="95" t="s">
        <v>31</v>
      </c>
      <c r="D46" s="95" t="s">
        <v>17</v>
      </c>
      <c r="E46" s="100"/>
      <c r="F46" s="99"/>
      <c r="G46" s="70"/>
      <c r="H46" s="70"/>
      <c r="K46" s="24"/>
      <c r="L46" s="24"/>
      <c r="M46" s="24"/>
    </row>
    <row r="47" spans="1:28" ht="17" customHeight="1" x14ac:dyDescent="0.15">
      <c r="A47" s="91" t="s">
        <v>32</v>
      </c>
      <c r="B47" s="91">
        <v>35</v>
      </c>
      <c r="C47" s="101">
        <v>35</v>
      </c>
      <c r="D47" s="91">
        <f>B47+C47</f>
        <v>70</v>
      </c>
      <c r="E47" s="102"/>
      <c r="F47" s="196" t="s">
        <v>33</v>
      </c>
      <c r="G47" s="197"/>
      <c r="H47" s="197"/>
      <c r="I47" s="198"/>
      <c r="K47" s="168"/>
      <c r="L47" s="24"/>
      <c r="M47" s="24"/>
    </row>
    <row r="48" spans="1:28" ht="17" customHeight="1" x14ac:dyDescent="0.15">
      <c r="A48" s="91" t="s">
        <v>34</v>
      </c>
      <c r="B48" s="149">
        <v>19.5</v>
      </c>
      <c r="C48" s="72">
        <f>B48</f>
        <v>19.5</v>
      </c>
      <c r="D48" s="91"/>
      <c r="E48" s="102"/>
      <c r="F48" s="194" t="s">
        <v>30</v>
      </c>
      <c r="G48" s="195"/>
      <c r="H48" s="194" t="s">
        <v>31</v>
      </c>
      <c r="I48" s="195"/>
      <c r="J48" s="26"/>
      <c r="K48" s="24"/>
      <c r="L48" s="96"/>
      <c r="M48" s="96"/>
      <c r="N48" s="26"/>
    </row>
    <row r="49" spans="1:14" ht="17" customHeight="1" x14ac:dyDescent="0.15">
      <c r="A49" s="103"/>
      <c r="B49" s="129"/>
      <c r="C49" s="130"/>
      <c r="D49" s="129"/>
      <c r="E49" s="68"/>
      <c r="F49" s="74" t="s">
        <v>37</v>
      </c>
      <c r="G49" s="156">
        <f>MIN((MIN('Family expenses'!B42-12*J40,8000)+MIN(MIN(MAX('Family expenses'!B43-10*J41,0)+MAX('Family expenses'!B44-6/20*J42,0) +MAX('Family expenses'!B45-15/20*J42,0)+MAX('Family expenses'!B46-J42*1.5,0),5000))))</f>
        <v>9794.630000000001</v>
      </c>
      <c r="H49" s="74" t="s">
        <v>40</v>
      </c>
      <c r="I49" s="155">
        <f>'Family expenses'!B56*2</f>
        <v>683.7</v>
      </c>
      <c r="J49" s="2"/>
      <c r="K49" s="24"/>
      <c r="L49" s="71"/>
      <c r="M49" s="71"/>
      <c r="N49" s="2"/>
    </row>
    <row r="50" spans="1:14" s="26" customFormat="1" ht="17" customHeight="1" x14ac:dyDescent="0.15">
      <c r="A50" s="91" t="s">
        <v>35</v>
      </c>
      <c r="B50" s="131">
        <f>B48*B47*52</f>
        <v>35490</v>
      </c>
      <c r="C50" s="131">
        <f>C48*C47*52</f>
        <v>35490</v>
      </c>
      <c r="D50" s="131">
        <f t="shared" ref="D50:D57" si="1">B50+C50</f>
        <v>70980</v>
      </c>
      <c r="E50" s="68"/>
      <c r="F50" s="74" t="s">
        <v>39</v>
      </c>
      <c r="G50" s="155">
        <f>(C16-B52*0.03)</f>
        <v>1041.1388999999999</v>
      </c>
      <c r="H50" s="74" t="s">
        <v>43</v>
      </c>
      <c r="I50" s="156">
        <f>IF(D52&lt;30043, (MIN(0.194*(D50-4750),1932)-0.157*(D52-17737)),0)</f>
        <v>0</v>
      </c>
      <c r="J50" s="2"/>
      <c r="L50" s="2"/>
      <c r="M50" s="2"/>
      <c r="N50" s="2"/>
    </row>
    <row r="51" spans="1:14" s="2" customFormat="1" ht="17" customHeight="1" x14ac:dyDescent="0.15">
      <c r="A51" s="91" t="s">
        <v>36</v>
      </c>
      <c r="B51" s="131">
        <f>-G49</f>
        <v>-9794.630000000001</v>
      </c>
      <c r="C51" s="131"/>
      <c r="D51" s="131"/>
      <c r="E51" s="68"/>
      <c r="F51" s="74" t="s">
        <v>42</v>
      </c>
      <c r="G51" s="155">
        <f>IF((0.25*G50- 0.05*(D52-27044))&gt;0,(0.25*G50 - 0.05*(D52-27044)),0)</f>
        <v>0</v>
      </c>
      <c r="H51" s="23"/>
      <c r="I51" s="79"/>
      <c r="J51"/>
      <c r="K51" s="71"/>
      <c r="L51"/>
      <c r="M51"/>
      <c r="N51"/>
    </row>
    <row r="52" spans="1:14" s="2" customFormat="1" ht="17" customHeight="1" x14ac:dyDescent="0.15">
      <c r="A52" s="91" t="s">
        <v>38</v>
      </c>
      <c r="B52" s="131">
        <f>B50+B51</f>
        <v>25695.37</v>
      </c>
      <c r="C52" s="131">
        <f>C50+C51</f>
        <v>35490</v>
      </c>
      <c r="D52" s="131">
        <f t="shared" si="1"/>
        <v>61185.369999999995</v>
      </c>
      <c r="E52" s="68"/>
      <c r="F52" s="77"/>
      <c r="G52" s="78"/>
      <c r="H52" s="24"/>
      <c r="I52" s="24"/>
      <c r="J52"/>
      <c r="K52" s="71"/>
      <c r="L52"/>
      <c r="M52"/>
      <c r="N52"/>
    </row>
    <row r="53" spans="1:14" ht="17" customHeight="1" x14ac:dyDescent="0.15">
      <c r="A53" s="91" t="s">
        <v>41</v>
      </c>
      <c r="B53" s="131">
        <f>B50*0.0166</f>
        <v>589.13400000000001</v>
      </c>
      <c r="C53" s="131">
        <f>C50*0.0166</f>
        <v>589.13400000000001</v>
      </c>
      <c r="D53" s="131">
        <f t="shared" si="1"/>
        <v>1178.268</v>
      </c>
      <c r="E53" s="104"/>
      <c r="F53" s="110"/>
      <c r="G53" s="164"/>
      <c r="I53" s="34"/>
    </row>
    <row r="54" spans="1:14" ht="17" customHeight="1" x14ac:dyDescent="0.15">
      <c r="A54" s="91" t="s">
        <v>44</v>
      </c>
      <c r="B54" s="131">
        <f>(B50-3500)*0.0495</f>
        <v>1583.5050000000001</v>
      </c>
      <c r="C54" s="131">
        <f>(C50-3500)*0.0495</f>
        <v>1583.5050000000001</v>
      </c>
      <c r="D54" s="131">
        <f t="shared" si="1"/>
        <v>3167.01</v>
      </c>
      <c r="E54" s="105"/>
      <c r="F54" s="127"/>
      <c r="G54" s="150"/>
      <c r="H54" s="65"/>
      <c r="I54" s="33"/>
    </row>
    <row r="55" spans="1:14" ht="17" customHeight="1" x14ac:dyDescent="0.15">
      <c r="A55" s="91" t="s">
        <v>45</v>
      </c>
      <c r="B55" s="128">
        <f>MAX(0,(B52*0.15-(11809+B53+B54+1195+MIN(G50,2302))*0.15))</f>
        <v>1421.6388149999998</v>
      </c>
      <c r="C55" s="132">
        <f>MAX(0,(C52*0.15-(11809+C53+C54+1195+I49)*0.15))</f>
        <v>2944.4491499999999</v>
      </c>
      <c r="D55" s="128">
        <f t="shared" si="1"/>
        <v>4366.0879649999997</v>
      </c>
      <c r="E55" s="106"/>
      <c r="F55" s="65"/>
      <c r="G55" s="65"/>
      <c r="H55" s="24"/>
    </row>
    <row r="56" spans="1:14" ht="17" customHeight="1" x14ac:dyDescent="0.15">
      <c r="A56" s="91" t="s">
        <v>100</v>
      </c>
      <c r="B56" s="128">
        <f>-G51</f>
        <v>0</v>
      </c>
      <c r="C56" s="128">
        <f>-I50</f>
        <v>0</v>
      </c>
      <c r="D56" s="128">
        <f>-(B56+C56)</f>
        <v>0</v>
      </c>
      <c r="E56" s="107"/>
      <c r="F56" s="126"/>
      <c r="G56" s="151"/>
      <c r="H56" s="48"/>
      <c r="I56" s="48"/>
    </row>
    <row r="57" spans="1:14" ht="17" customHeight="1" x14ac:dyDescent="0.2">
      <c r="A57" s="91" t="s">
        <v>47</v>
      </c>
      <c r="B57" s="128">
        <f>MAX(0,(B52*0.0506-(10412+B53+B54+MIN(G50,2165))*0.0506-MAX(0,453-(B52-20144)*0.0356)))</f>
        <v>355.35013225999995</v>
      </c>
      <c r="C57" s="132">
        <f>MAX(0,(C52*0.0506-(10412+C53+C54+(I49+60*8))*0.0506-MAX(0,453-(C52-20144)*0.0356)))</f>
        <v>1100.1280465999998</v>
      </c>
      <c r="D57" s="128">
        <f t="shared" si="1"/>
        <v>1455.4781788599998</v>
      </c>
      <c r="E57" s="106"/>
      <c r="F57" s="65"/>
      <c r="G57" s="65"/>
      <c r="H57" s="69"/>
      <c r="K57" s="24"/>
    </row>
    <row r="58" spans="1:14" ht="17" customHeight="1" x14ac:dyDescent="0.15">
      <c r="A58" s="91" t="s">
        <v>48</v>
      </c>
      <c r="B58" s="128">
        <f>B50-SUM(B53:B57)</f>
        <v>31540.37205274</v>
      </c>
      <c r="C58" s="128">
        <f>C50-SUM(C53:C57)</f>
        <v>29272.783803400001</v>
      </c>
      <c r="D58" s="128">
        <f>B58+C58</f>
        <v>60813.155856140002</v>
      </c>
      <c r="E58" s="68"/>
      <c r="F58" s="68"/>
      <c r="H58" s="24"/>
    </row>
    <row r="59" spans="1:14" ht="17" customHeight="1" x14ac:dyDescent="0.2">
      <c r="A59" s="91" t="s">
        <v>49</v>
      </c>
      <c r="B59" s="128">
        <f>B58/12</f>
        <v>2628.3643377283333</v>
      </c>
      <c r="C59" s="128">
        <f>C58/12</f>
        <v>2439.3986502833336</v>
      </c>
      <c r="D59" s="128">
        <f>B59+C59</f>
        <v>5067.7629880116674</v>
      </c>
      <c r="E59" s="68"/>
      <c r="F59" s="157"/>
      <c r="G59" s="6"/>
      <c r="I59" s="6"/>
    </row>
    <row r="60" spans="1:14" ht="17" customHeight="1" x14ac:dyDescent="0.15">
      <c r="A60" s="108"/>
      <c r="B60" s="109"/>
      <c r="C60" s="109"/>
      <c r="D60" s="109"/>
      <c r="E60" s="68"/>
      <c r="F60" s="68"/>
    </row>
    <row r="61" spans="1:14" ht="17" customHeight="1" x14ac:dyDescent="0.2">
      <c r="A61" s="68"/>
      <c r="B61" s="110"/>
      <c r="C61" s="110"/>
      <c r="D61" s="110"/>
      <c r="E61" s="111"/>
      <c r="F61" s="68"/>
      <c r="G61" s="24"/>
      <c r="K61" s="24"/>
    </row>
    <row r="62" spans="1:14" ht="17" customHeight="1" x14ac:dyDescent="0.2">
      <c r="A62" s="111" t="s">
        <v>129</v>
      </c>
      <c r="B62" s="111"/>
      <c r="C62" s="111"/>
      <c r="D62" s="111"/>
      <c r="E62" s="68"/>
      <c r="F62" s="68"/>
      <c r="J62" s="26"/>
      <c r="K62" s="96"/>
    </row>
    <row r="63" spans="1:14" ht="17" customHeight="1" x14ac:dyDescent="0.15">
      <c r="A63" s="68"/>
      <c r="B63" s="68"/>
      <c r="C63" s="68"/>
      <c r="D63" s="68"/>
      <c r="E63" s="68"/>
      <c r="J63" s="26"/>
      <c r="K63" s="26"/>
    </row>
    <row r="64" spans="1:14" ht="17" customHeight="1" x14ac:dyDescent="0.15">
      <c r="A64" s="112" t="s">
        <v>50</v>
      </c>
      <c r="B64" s="112"/>
      <c r="C64" s="112"/>
      <c r="D64" s="113">
        <f xml:space="preserve"> D50</f>
        <v>70980</v>
      </c>
      <c r="E64" s="68"/>
      <c r="J64" s="26"/>
      <c r="K64" s="26"/>
    </row>
    <row r="65" spans="1:13" s="6" customFormat="1" ht="17" customHeight="1" x14ac:dyDescent="0.2">
      <c r="A65" s="82" t="s">
        <v>51</v>
      </c>
      <c r="B65" s="82"/>
      <c r="C65" s="82"/>
      <c r="D65" s="83">
        <f>SUM(B53:B57)+SUM(C53:C57)</f>
        <v>10166.844143859998</v>
      </c>
      <c r="E65"/>
      <c r="F65"/>
      <c r="G65"/>
      <c r="H65"/>
      <c r="I65"/>
      <c r="J65" s="26"/>
      <c r="K65" s="26"/>
      <c r="L65"/>
      <c r="M65"/>
    </row>
    <row r="66" spans="1:13" ht="17" customHeight="1" x14ac:dyDescent="0.15">
      <c r="A66" s="82" t="s">
        <v>52</v>
      </c>
      <c r="B66" s="82"/>
      <c r="C66" s="82"/>
      <c r="D66" s="83">
        <f>D64-D65</f>
        <v>60813.155856140002</v>
      </c>
      <c r="J66" s="26"/>
      <c r="K66" s="26"/>
      <c r="M66" s="2"/>
    </row>
    <row r="67" spans="1:13" ht="17" customHeight="1" x14ac:dyDescent="0.2">
      <c r="A67" s="82" t="s">
        <v>110</v>
      </c>
      <c r="B67" s="82"/>
      <c r="C67" s="82"/>
      <c r="D67" s="83">
        <f>C33</f>
        <v>15240.945999999996</v>
      </c>
      <c r="H67" s="6"/>
    </row>
    <row r="68" spans="1:13" ht="17" customHeight="1" x14ac:dyDescent="0.2">
      <c r="A68" s="82" t="s">
        <v>53</v>
      </c>
      <c r="B68" s="82"/>
      <c r="C68" s="82"/>
      <c r="D68" s="83">
        <f>D66+D67</f>
        <v>76054.101856139998</v>
      </c>
      <c r="L68" s="6"/>
      <c r="M68" s="6"/>
    </row>
    <row r="69" spans="1:13" ht="17" customHeight="1" x14ac:dyDescent="0.2">
      <c r="A69" s="82" t="s">
        <v>54</v>
      </c>
      <c r="B69" s="82"/>
      <c r="C69" s="82"/>
      <c r="D69" s="83">
        <f>C20</f>
        <v>76036.710436325433</v>
      </c>
      <c r="F69" s="6"/>
      <c r="G69" s="6"/>
      <c r="H69" s="10"/>
    </row>
    <row r="70" spans="1:13" ht="17" customHeight="1" x14ac:dyDescent="0.15">
      <c r="A70" s="82" t="s">
        <v>55</v>
      </c>
      <c r="B70" s="82"/>
      <c r="C70" s="82"/>
      <c r="D70" s="83">
        <f>D68-D69</f>
        <v>17.39141981456487</v>
      </c>
    </row>
    <row r="71" spans="1:13" ht="17" customHeight="1" x14ac:dyDescent="0.2">
      <c r="E71" s="6"/>
      <c r="F71" s="10"/>
      <c r="G71" s="10"/>
      <c r="I71" s="10"/>
    </row>
    <row r="72" spans="1:13" ht="17" customHeight="1" x14ac:dyDescent="0.2">
      <c r="C72" s="6"/>
    </row>
    <row r="73" spans="1:13" ht="17" customHeight="1" x14ac:dyDescent="0.15">
      <c r="B73" s="24"/>
      <c r="E73" s="10"/>
    </row>
    <row r="74" spans="1:13" ht="17" customHeight="1" x14ac:dyDescent="0.15">
      <c r="A74" s="10"/>
      <c r="B74" s="26"/>
      <c r="C74" s="26"/>
      <c r="D74" s="26"/>
    </row>
    <row r="75" spans="1:13" ht="12.75" customHeight="1" x14ac:dyDescent="0.15">
      <c r="B75" s="24"/>
      <c r="C75" s="84"/>
      <c r="D75" s="24"/>
    </row>
    <row r="76" spans="1:13" ht="16" x14ac:dyDescent="0.2">
      <c r="A76" s="3"/>
      <c r="B76" s="24"/>
      <c r="C76" s="84"/>
      <c r="D76" s="24"/>
      <c r="F76" s="9"/>
    </row>
    <row r="77" spans="1:13" x14ac:dyDescent="0.15">
      <c r="B77" s="24"/>
      <c r="C77" s="86"/>
      <c r="F77" s="9"/>
    </row>
    <row r="78" spans="1:13" x14ac:dyDescent="0.15">
      <c r="B78" s="24"/>
      <c r="C78" s="86"/>
      <c r="E78" s="9"/>
      <c r="F78" s="9"/>
    </row>
    <row r="79" spans="1:13" x14ac:dyDescent="0.15">
      <c r="B79" s="9"/>
      <c r="C79" s="9"/>
      <c r="D79" s="9"/>
      <c r="E79" s="9"/>
      <c r="F79" s="87"/>
    </row>
    <row r="80" spans="1:13" x14ac:dyDescent="0.15">
      <c r="B80" s="9"/>
      <c r="C80" s="9"/>
      <c r="D80" s="9"/>
      <c r="E80" s="9"/>
      <c r="F80" s="87"/>
    </row>
    <row r="81" spans="2:6" x14ac:dyDescent="0.15">
      <c r="B81" s="9"/>
      <c r="C81" s="9"/>
      <c r="D81" s="9"/>
      <c r="E81" s="42"/>
      <c r="F81" s="87"/>
    </row>
    <row r="82" spans="2:6" x14ac:dyDescent="0.15">
      <c r="D82" s="42"/>
      <c r="E82" s="42"/>
      <c r="F82" s="87"/>
    </row>
    <row r="83" spans="2:6" x14ac:dyDescent="0.15">
      <c r="D83" s="42"/>
      <c r="E83" s="42"/>
    </row>
    <row r="84" spans="2:6" x14ac:dyDescent="0.15">
      <c r="D84" s="42"/>
      <c r="E84" s="42"/>
    </row>
    <row r="85" spans="2:6" x14ac:dyDescent="0.15">
      <c r="D85" s="42"/>
      <c r="F85" s="9"/>
    </row>
    <row r="86" spans="2:6" x14ac:dyDescent="0.15">
      <c r="F86" s="9"/>
    </row>
    <row r="87" spans="2:6" x14ac:dyDescent="0.15">
      <c r="E87" s="9"/>
      <c r="F87" s="9"/>
    </row>
    <row r="88" spans="2:6" x14ac:dyDescent="0.15">
      <c r="B88" s="9"/>
      <c r="C88" s="9"/>
      <c r="D88" s="9"/>
      <c r="E88" s="9"/>
      <c r="F88" s="87"/>
    </row>
    <row r="89" spans="2:6" x14ac:dyDescent="0.15">
      <c r="B89" s="9"/>
      <c r="C89" s="9"/>
      <c r="D89" s="9"/>
      <c r="E89" s="9"/>
      <c r="F89" s="87"/>
    </row>
    <row r="90" spans="2:6" x14ac:dyDescent="0.15">
      <c r="B90" s="9"/>
      <c r="C90" s="9"/>
      <c r="D90" s="9"/>
      <c r="E90" s="42"/>
      <c r="F90" s="87"/>
    </row>
    <row r="91" spans="2:6" x14ac:dyDescent="0.15">
      <c r="D91" s="42"/>
      <c r="E91" s="42"/>
      <c r="F91" s="87"/>
    </row>
    <row r="92" spans="2:6" x14ac:dyDescent="0.15">
      <c r="D92" s="42"/>
      <c r="E92" s="42"/>
    </row>
    <row r="93" spans="2:6" x14ac:dyDescent="0.15">
      <c r="D93" s="42"/>
      <c r="E93" s="42"/>
    </row>
    <row r="94" spans="2:6" x14ac:dyDescent="0.15">
      <c r="D94" s="42"/>
    </row>
    <row r="95" spans="2:6" x14ac:dyDescent="0.15">
      <c r="B95" s="24"/>
      <c r="C95" s="84"/>
    </row>
    <row r="96" spans="2:6" x14ac:dyDescent="0.15">
      <c r="B96" s="24"/>
      <c r="C96" s="24"/>
      <c r="D96" s="24"/>
      <c r="F96" s="9"/>
    </row>
    <row r="97" spans="2:6" x14ac:dyDescent="0.15">
      <c r="B97" s="24"/>
      <c r="C97" s="86"/>
      <c r="F97" s="9"/>
    </row>
    <row r="98" spans="2:6" x14ac:dyDescent="0.15">
      <c r="B98" s="24"/>
      <c r="C98" s="86"/>
      <c r="E98" s="9"/>
      <c r="F98" s="9"/>
    </row>
    <row r="99" spans="2:6" x14ac:dyDescent="0.15">
      <c r="B99" s="9"/>
      <c r="C99" s="9"/>
      <c r="D99" s="9"/>
      <c r="E99" s="9"/>
      <c r="F99" s="87"/>
    </row>
    <row r="100" spans="2:6" x14ac:dyDescent="0.15">
      <c r="B100" s="9"/>
      <c r="C100" s="9"/>
      <c r="D100" s="9"/>
      <c r="E100" s="9"/>
      <c r="F100" s="87"/>
    </row>
    <row r="101" spans="2:6" x14ac:dyDescent="0.15">
      <c r="B101" s="9"/>
      <c r="C101" s="9"/>
      <c r="D101" s="9"/>
      <c r="E101" s="42"/>
      <c r="F101" s="87"/>
    </row>
    <row r="102" spans="2:6" x14ac:dyDescent="0.15">
      <c r="D102" s="42"/>
      <c r="E102" s="42"/>
      <c r="F102" s="87"/>
    </row>
    <row r="103" spans="2:6" x14ac:dyDescent="0.15">
      <c r="D103" s="42"/>
      <c r="E103" s="42"/>
    </row>
    <row r="104" spans="2:6" x14ac:dyDescent="0.15">
      <c r="D104" s="42"/>
      <c r="E104" s="42"/>
    </row>
    <row r="105" spans="2:6" x14ac:dyDescent="0.15">
      <c r="D105" s="42"/>
      <c r="F105" s="9"/>
    </row>
    <row r="106" spans="2:6" x14ac:dyDescent="0.15">
      <c r="F106" s="9"/>
    </row>
    <row r="107" spans="2:6" x14ac:dyDescent="0.15">
      <c r="E107" s="9"/>
      <c r="F107" s="9"/>
    </row>
    <row r="108" spans="2:6" x14ac:dyDescent="0.15">
      <c r="B108" s="9"/>
      <c r="C108" s="9"/>
      <c r="D108" s="9"/>
      <c r="E108" s="9"/>
      <c r="F108" s="87"/>
    </row>
    <row r="109" spans="2:6" x14ac:dyDescent="0.15">
      <c r="B109" s="9"/>
      <c r="C109" s="9"/>
      <c r="D109" s="9"/>
      <c r="E109" s="9"/>
      <c r="F109" s="87"/>
    </row>
    <row r="110" spans="2:6" x14ac:dyDescent="0.15">
      <c r="B110" s="9"/>
      <c r="C110" s="9"/>
      <c r="D110" s="9"/>
      <c r="E110" s="42"/>
      <c r="F110" s="87"/>
    </row>
    <row r="111" spans="2:6" x14ac:dyDescent="0.15">
      <c r="D111" s="42"/>
      <c r="E111" s="42"/>
      <c r="F111" s="87"/>
    </row>
    <row r="112" spans="2:6" x14ac:dyDescent="0.15">
      <c r="D112" s="42"/>
      <c r="E112" s="42"/>
    </row>
    <row r="113" spans="4:5" x14ac:dyDescent="0.15">
      <c r="D113" s="42"/>
      <c r="E113" s="42"/>
    </row>
    <row r="114" spans="4:5" x14ac:dyDescent="0.15">
      <c r="D114" s="42"/>
    </row>
  </sheetData>
  <customSheetViews>
    <customSheetView guid="{AECF95C1-27BC-F14B-8EDE-44059DAFEC30}" scale="125" topLeftCell="A42">
      <selection activeCell="I53" sqref="I53"/>
      <pageMargins left="0.7" right="0.7" top="0.75" bottom="0.75" header="0.3" footer="0.3"/>
      <printOptions gridLines="1"/>
      <pageSetup scale="41" orientation="portrait"/>
    </customSheetView>
  </customSheetViews>
  <mergeCells count="3">
    <mergeCell ref="F48:G48"/>
    <mergeCell ref="H48:I48"/>
    <mergeCell ref="F47:I47"/>
  </mergeCells>
  <phoneticPr fontId="8" type="noConversion"/>
  <printOptions gridLines="1"/>
  <pageMargins left="0.75" right="0.5" top="0.5" bottom="0.5" header="0.5" footer="0.5"/>
  <pageSetup scale="41" orientation="portrait"/>
  <colBreaks count="1" manualBreakCount="1">
    <brk id="15"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9"/>
  <sheetViews>
    <sheetView zoomScale="125" zoomScaleNormal="125" zoomScalePageLayoutView="125" workbookViewId="0">
      <selection activeCell="B63" sqref="B63"/>
    </sheetView>
  </sheetViews>
  <sheetFormatPr baseColWidth="10" defaultColWidth="8.83203125" defaultRowHeight="17" customHeight="1" x14ac:dyDescent="0.15"/>
  <cols>
    <col min="1" max="1" width="61.1640625" style="82" customWidth="1"/>
    <col min="2" max="2" width="14.33203125" style="121" customWidth="1"/>
    <col min="3" max="3" width="40.5" style="82" customWidth="1"/>
    <col min="4" max="4" width="11.6640625" style="82" customWidth="1"/>
    <col min="5" max="5" width="13.5" style="82" customWidth="1"/>
    <col min="6" max="6" width="10.33203125" style="82" bestFit="1" customWidth="1"/>
    <col min="7" max="16384" width="8.83203125" style="82"/>
  </cols>
  <sheetData>
    <row r="1" spans="1:10" customFormat="1" ht="17" customHeight="1" x14ac:dyDescent="0.2">
      <c r="A1" s="1" t="s">
        <v>132</v>
      </c>
      <c r="B1" s="180"/>
      <c r="C1" s="2"/>
      <c r="D1" s="2"/>
      <c r="E1" s="2"/>
      <c r="F1" s="2"/>
      <c r="G1" s="2"/>
      <c r="H1" s="2"/>
      <c r="I1" s="2"/>
    </row>
    <row r="2" spans="1:10" s="3" customFormat="1" ht="17" customHeight="1" x14ac:dyDescent="0.2">
      <c r="A2" s="3" t="s">
        <v>0</v>
      </c>
      <c r="B2" s="181"/>
      <c r="D2" s="4"/>
      <c r="E2" s="5"/>
    </row>
    <row r="3" spans="1:10" customFormat="1" ht="17" customHeight="1" x14ac:dyDescent="0.2">
      <c r="A3" s="2" t="s">
        <v>1</v>
      </c>
      <c r="B3" s="182"/>
      <c r="C3" s="3"/>
      <c r="D3" s="4"/>
      <c r="E3" s="5"/>
      <c r="F3" s="3"/>
      <c r="G3" s="3"/>
      <c r="H3" s="3"/>
      <c r="I3" s="3"/>
      <c r="J3" s="3"/>
    </row>
    <row r="4" spans="1:10" customFormat="1" ht="17" customHeight="1" x14ac:dyDescent="0.2">
      <c r="A4" s="2"/>
      <c r="B4" s="182"/>
      <c r="C4" s="3"/>
      <c r="D4" s="4"/>
      <c r="E4" s="5"/>
      <c r="F4" s="3"/>
      <c r="G4" s="3"/>
      <c r="H4" s="3"/>
      <c r="I4" s="3"/>
      <c r="J4" s="3"/>
    </row>
    <row r="5" spans="1:10" customFormat="1" ht="17" customHeight="1" x14ac:dyDescent="0.2">
      <c r="A5" s="115" t="s">
        <v>68</v>
      </c>
      <c r="B5" s="182"/>
      <c r="C5" s="3"/>
      <c r="D5" s="4"/>
      <c r="E5" s="5"/>
      <c r="F5" s="3"/>
      <c r="G5" s="3"/>
      <c r="H5" s="3"/>
      <c r="I5" s="3"/>
      <c r="J5" s="3"/>
    </row>
    <row r="6" spans="1:10" ht="17" customHeight="1" x14ac:dyDescent="0.15">
      <c r="A6" s="82" t="s">
        <v>102</v>
      </c>
      <c r="B6" s="167">
        <f>243+286+167+172</f>
        <v>868</v>
      </c>
    </row>
    <row r="7" spans="1:10" ht="17" customHeight="1" x14ac:dyDescent="0.15">
      <c r="A7" s="82" t="s">
        <v>69</v>
      </c>
      <c r="B7" s="183">
        <v>1019</v>
      </c>
    </row>
    <row r="8" spans="1:10" ht="56" x14ac:dyDescent="0.15">
      <c r="A8" s="179" t="s">
        <v>136</v>
      </c>
      <c r="B8" s="184">
        <v>1017.96</v>
      </c>
    </row>
    <row r="9" spans="1:10" ht="17" customHeight="1" x14ac:dyDescent="0.15">
      <c r="A9" s="166" t="s">
        <v>115</v>
      </c>
      <c r="B9" s="167">
        <v>137.69999999999999</v>
      </c>
      <c r="E9"/>
    </row>
    <row r="10" spans="1:10" ht="17" customHeight="1" x14ac:dyDescent="0.15">
      <c r="A10" s="166" t="s">
        <v>116</v>
      </c>
      <c r="B10" s="167">
        <v>140.1</v>
      </c>
      <c r="E10" s="118"/>
      <c r="F10" s="118"/>
    </row>
    <row r="11" spans="1:10" ht="17" customHeight="1" x14ac:dyDescent="0.15">
      <c r="A11" s="115" t="s">
        <v>70</v>
      </c>
      <c r="B11" s="185">
        <f>(B6/B7)*B8*B10/B9</f>
        <v>882.22721186348269</v>
      </c>
    </row>
    <row r="12" spans="1:10" ht="17" customHeight="1" x14ac:dyDescent="0.15">
      <c r="B12" s="183"/>
    </row>
    <row r="13" spans="1:10" ht="17" customHeight="1" x14ac:dyDescent="0.15">
      <c r="A13" s="115" t="s">
        <v>118</v>
      </c>
      <c r="B13" s="183"/>
    </row>
    <row r="14" spans="1:10" ht="17" customHeight="1" x14ac:dyDescent="0.15">
      <c r="A14" s="82" t="s">
        <v>117</v>
      </c>
      <c r="B14" s="183">
        <v>1847</v>
      </c>
    </row>
    <row r="15" spans="1:10" ht="17" customHeight="1" x14ac:dyDescent="0.15">
      <c r="A15" s="82" t="s">
        <v>119</v>
      </c>
      <c r="B15" s="183">
        <v>104.5</v>
      </c>
    </row>
    <row r="16" spans="1:10" ht="17" customHeight="1" x14ac:dyDescent="0.15">
      <c r="A16" s="82" t="s">
        <v>120</v>
      </c>
      <c r="B16" s="183">
        <v>105.6</v>
      </c>
    </row>
    <row r="17" spans="1:8" ht="17" customHeight="1" x14ac:dyDescent="0.15">
      <c r="A17" s="115" t="s">
        <v>71</v>
      </c>
      <c r="B17" s="186">
        <f>B14*B16/B15</f>
        <v>1866.4421052631578</v>
      </c>
      <c r="C17" s="121"/>
      <c r="E17" s="123"/>
      <c r="F17" s="116"/>
      <c r="G17" s="116"/>
      <c r="H17" s="116"/>
    </row>
    <row r="18" spans="1:8" ht="17" customHeight="1" x14ac:dyDescent="0.15">
      <c r="B18" s="183"/>
      <c r="C18" s="121"/>
      <c r="E18" s="162"/>
      <c r="F18" s="116"/>
      <c r="G18" s="116"/>
      <c r="H18" s="116"/>
    </row>
    <row r="19" spans="1:8" ht="17" customHeight="1" x14ac:dyDescent="0.15">
      <c r="A19" s="115" t="s">
        <v>105</v>
      </c>
      <c r="B19" s="183"/>
      <c r="C19" s="121"/>
      <c r="E19" s="147"/>
      <c r="F19" s="116"/>
      <c r="G19" s="116"/>
      <c r="H19" s="116"/>
    </row>
    <row r="20" spans="1:8" ht="17" customHeight="1" x14ac:dyDescent="0.15">
      <c r="A20" s="117" t="s">
        <v>80</v>
      </c>
      <c r="B20" s="184">
        <v>1703</v>
      </c>
      <c r="C20" s="121"/>
      <c r="E20" s="161"/>
      <c r="F20" s="123"/>
      <c r="G20" s="116"/>
      <c r="H20" s="116"/>
    </row>
    <row r="21" spans="1:8" ht="17" customHeight="1" x14ac:dyDescent="0.15">
      <c r="A21" s="82" t="s">
        <v>72</v>
      </c>
      <c r="B21" s="183">
        <f>102</f>
        <v>102</v>
      </c>
      <c r="C21" s="122"/>
      <c r="E21" s="124"/>
      <c r="F21" s="116"/>
      <c r="G21" s="116"/>
      <c r="H21" s="116"/>
    </row>
    <row r="22" spans="1:8" ht="17" customHeight="1" x14ac:dyDescent="0.15">
      <c r="A22" s="82" t="s">
        <v>82</v>
      </c>
      <c r="B22" s="183">
        <v>115.1</v>
      </c>
      <c r="E22" s="188"/>
      <c r="F22" s="116"/>
      <c r="G22" s="116"/>
      <c r="H22" s="116"/>
    </row>
    <row r="23" spans="1:8" ht="17" customHeight="1" x14ac:dyDescent="0.15">
      <c r="A23" s="82" t="s">
        <v>121</v>
      </c>
      <c r="B23" s="183">
        <v>153.19999999999999</v>
      </c>
      <c r="E23" s="123"/>
      <c r="F23" s="116"/>
      <c r="G23" s="116"/>
      <c r="H23" s="116"/>
    </row>
    <row r="24" spans="1:8" ht="17" customHeight="1" x14ac:dyDescent="0.15">
      <c r="A24" s="117" t="s">
        <v>95</v>
      </c>
      <c r="B24" s="184">
        <f>2*40*1.12</f>
        <v>89.600000000000009</v>
      </c>
      <c r="E24" s="161"/>
      <c r="F24" s="116"/>
      <c r="G24" s="124"/>
      <c r="H24" s="116"/>
    </row>
    <row r="25" spans="1:8" ht="17" customHeight="1" x14ac:dyDescent="0.15">
      <c r="A25" s="117" t="s">
        <v>94</v>
      </c>
      <c r="B25" s="184">
        <f>(37.95+8.32)*1.12</f>
        <v>51.822400000000009</v>
      </c>
      <c r="E25" s="162"/>
      <c r="F25" s="162"/>
      <c r="G25" s="116"/>
      <c r="H25" s="116"/>
    </row>
    <row r="26" spans="1:8" ht="17" customHeight="1" x14ac:dyDescent="0.15">
      <c r="A26" s="117" t="s">
        <v>81</v>
      </c>
      <c r="B26" s="184">
        <v>41.05</v>
      </c>
      <c r="E26" s="147"/>
      <c r="F26" s="147"/>
    </row>
    <row r="27" spans="1:8" ht="17" customHeight="1" x14ac:dyDescent="0.15">
      <c r="A27" s="115" t="s">
        <v>106</v>
      </c>
      <c r="B27" s="186">
        <f>B20+(B21*(B23/B22)+B24+B25+B26)</f>
        <v>2021.2360837532581</v>
      </c>
      <c r="E27" s="161"/>
      <c r="F27" s="161"/>
    </row>
    <row r="28" spans="1:8" ht="17" customHeight="1" x14ac:dyDescent="0.15">
      <c r="B28" s="183"/>
    </row>
    <row r="29" spans="1:8" ht="17" customHeight="1" x14ac:dyDescent="0.15">
      <c r="A29" s="115" t="s">
        <v>73</v>
      </c>
      <c r="B29" s="183"/>
      <c r="E29" s="121"/>
    </row>
    <row r="30" spans="1:8" ht="17" customHeight="1" x14ac:dyDescent="0.15">
      <c r="A30" s="82" t="s">
        <v>122</v>
      </c>
      <c r="B30" s="183">
        <v>5397</v>
      </c>
      <c r="C30" s="190"/>
      <c r="D30" s="121"/>
      <c r="E30" s="121"/>
      <c r="F30" s="183"/>
    </row>
    <row r="31" spans="1:8" ht="17" customHeight="1" x14ac:dyDescent="0.15">
      <c r="A31" s="82" t="s">
        <v>101</v>
      </c>
      <c r="B31" s="183">
        <v>159.30000000000001</v>
      </c>
      <c r="C31" s="191"/>
      <c r="F31" s="121"/>
    </row>
    <row r="32" spans="1:8" ht="17" customHeight="1" x14ac:dyDescent="0.15">
      <c r="A32" s="82" t="s">
        <v>123</v>
      </c>
      <c r="B32" s="183">
        <v>167.6</v>
      </c>
      <c r="C32" s="191"/>
      <c r="E32" s="152"/>
      <c r="G32" s="154"/>
    </row>
    <row r="33" spans="1:9" ht="17" customHeight="1" x14ac:dyDescent="0.15">
      <c r="A33" s="117" t="s">
        <v>124</v>
      </c>
      <c r="B33" s="184">
        <f>131*4</f>
        <v>524</v>
      </c>
      <c r="C33" s="121"/>
    </row>
    <row r="34" spans="1:9" ht="17" customHeight="1" x14ac:dyDescent="0.15">
      <c r="A34" s="117" t="s">
        <v>83</v>
      </c>
      <c r="B34" s="184">
        <f>41*8</f>
        <v>328</v>
      </c>
      <c r="E34" s="152"/>
    </row>
    <row r="35" spans="1:9" ht="17" customHeight="1" x14ac:dyDescent="0.15">
      <c r="A35" s="115" t="s">
        <v>74</v>
      </c>
      <c r="B35" s="186">
        <f>(B30*(B32/B31))+B33+B34</f>
        <v>6530.199623352165</v>
      </c>
    </row>
    <row r="36" spans="1:9" ht="17" customHeight="1" x14ac:dyDescent="0.15">
      <c r="B36" s="183"/>
    </row>
    <row r="37" spans="1:9" ht="17" customHeight="1" x14ac:dyDescent="0.15">
      <c r="A37" s="115" t="s">
        <v>98</v>
      </c>
      <c r="B37" s="183"/>
      <c r="E37" s="120"/>
    </row>
    <row r="38" spans="1:9" ht="17" customHeight="1" x14ac:dyDescent="0.15">
      <c r="A38" s="82" t="s">
        <v>75</v>
      </c>
      <c r="B38" s="183"/>
      <c r="C38"/>
      <c r="E38"/>
    </row>
    <row r="39" spans="1:9" ht="17" customHeight="1" x14ac:dyDescent="0.15">
      <c r="A39" s="82" t="s">
        <v>76</v>
      </c>
      <c r="B39" s="183">
        <f>0.754*(B11*12+B17)</f>
        <v>9389.6891603092117</v>
      </c>
      <c r="C39" s="11"/>
      <c r="E39"/>
    </row>
    <row r="40" spans="1:9" ht="17" customHeight="1" x14ac:dyDescent="0.15">
      <c r="B40" s="183"/>
      <c r="C40"/>
      <c r="E40" s="153"/>
      <c r="G40" s="124"/>
      <c r="H40" s="121"/>
    </row>
    <row r="41" spans="1:9" ht="17" customHeight="1" x14ac:dyDescent="0.15">
      <c r="A41" s="115" t="s">
        <v>14</v>
      </c>
      <c r="B41" s="183"/>
      <c r="C41" s="189"/>
      <c r="D41" s="121"/>
      <c r="E41"/>
      <c r="G41" s="116"/>
      <c r="H41" s="121"/>
    </row>
    <row r="42" spans="1:9" ht="28" x14ac:dyDescent="0.15">
      <c r="A42" s="163" t="s">
        <v>125</v>
      </c>
      <c r="B42" s="184">
        <f>914*12</f>
        <v>10968</v>
      </c>
      <c r="C42"/>
      <c r="D42" s="121"/>
      <c r="E42" s="121"/>
      <c r="F42" s="122"/>
      <c r="G42" s="121"/>
      <c r="H42" s="121"/>
    </row>
    <row r="43" spans="1:9" ht="17" customHeight="1" x14ac:dyDescent="0.15">
      <c r="A43" s="117" t="s">
        <v>127</v>
      </c>
      <c r="B43" s="184">
        <f>404*10</f>
        <v>4040</v>
      </c>
      <c r="C43"/>
      <c r="D43" s="121"/>
      <c r="E43" s="121"/>
      <c r="F43" s="122"/>
      <c r="G43" s="121"/>
      <c r="H43" s="121"/>
    </row>
    <row r="44" spans="1:9" ht="28" x14ac:dyDescent="0.15">
      <c r="A44" s="163" t="s">
        <v>130</v>
      </c>
      <c r="B44" s="184">
        <v>0</v>
      </c>
      <c r="C44"/>
      <c r="D44" s="121"/>
      <c r="E44" s="121"/>
      <c r="F44" s="122"/>
      <c r="G44" s="121"/>
      <c r="H44" s="121"/>
    </row>
    <row r="45" spans="1:9" ht="17" customHeight="1" x14ac:dyDescent="0.15">
      <c r="A45" s="163" t="s">
        <v>85</v>
      </c>
      <c r="B45" s="184">
        <f>200*3</f>
        <v>600</v>
      </c>
      <c r="C45"/>
      <c r="D45" s="121"/>
      <c r="E45" s="121"/>
      <c r="F45" s="122"/>
      <c r="G45" s="121"/>
      <c r="H45" s="121"/>
      <c r="I45" s="122"/>
    </row>
    <row r="46" spans="1:9" ht="17" customHeight="1" x14ac:dyDescent="0.15">
      <c r="A46" s="117" t="s">
        <v>84</v>
      </c>
      <c r="B46" s="184">
        <f>200*6</f>
        <v>1200</v>
      </c>
      <c r="D46" s="121"/>
      <c r="E46" s="121"/>
      <c r="F46" s="122"/>
      <c r="H46" s="121"/>
    </row>
    <row r="47" spans="1:9" ht="17" customHeight="1" x14ac:dyDescent="0.15">
      <c r="A47" s="115" t="s">
        <v>77</v>
      </c>
      <c r="B47" s="186">
        <f>SUM(B42:B46)</f>
        <v>16808</v>
      </c>
      <c r="D47" s="121"/>
      <c r="E47" s="121"/>
      <c r="F47" s="122"/>
    </row>
    <row r="48" spans="1:9" ht="17" customHeight="1" x14ac:dyDescent="0.15">
      <c r="B48" s="183"/>
      <c r="E48" s="121"/>
    </row>
    <row r="49" spans="1:7" ht="17" customHeight="1" x14ac:dyDescent="0.15">
      <c r="A49" s="115" t="s">
        <v>78</v>
      </c>
      <c r="B49" s="183"/>
    </row>
    <row r="50" spans="1:7" ht="17" customHeight="1" x14ac:dyDescent="0.15">
      <c r="A50" s="82" t="s">
        <v>86</v>
      </c>
      <c r="B50" s="183">
        <v>75</v>
      </c>
    </row>
    <row r="51" spans="1:7" ht="17" customHeight="1" x14ac:dyDescent="0.15">
      <c r="B51" s="183"/>
      <c r="C51" s="121"/>
    </row>
    <row r="52" spans="1:7" ht="17" customHeight="1" x14ac:dyDescent="0.15">
      <c r="A52" s="115" t="s">
        <v>138</v>
      </c>
      <c r="B52" s="183"/>
      <c r="C52" s="119"/>
    </row>
    <row r="53" spans="1:7" ht="17" customHeight="1" x14ac:dyDescent="0.15">
      <c r="A53" s="112" t="s">
        <v>126</v>
      </c>
      <c r="B53" s="167">
        <v>151</v>
      </c>
      <c r="E53" s="115"/>
      <c r="F53" s="115"/>
      <c r="G53" s="115"/>
    </row>
    <row r="54" spans="1:7" ht="17" customHeight="1" x14ac:dyDescent="0.15">
      <c r="B54" s="183"/>
      <c r="D54" s="115"/>
    </row>
    <row r="55" spans="1:7" ht="17" customHeight="1" x14ac:dyDescent="0.15">
      <c r="A55" s="115" t="s">
        <v>16</v>
      </c>
      <c r="B55" s="183"/>
      <c r="C55" s="140"/>
    </row>
    <row r="56" spans="1:7" ht="17" customHeight="1" x14ac:dyDescent="0.15">
      <c r="A56" s="117" t="s">
        <v>88</v>
      </c>
      <c r="B56" s="184">
        <v>341.85</v>
      </c>
      <c r="C56" s="121"/>
    </row>
    <row r="57" spans="1:7" ht="17" customHeight="1" x14ac:dyDescent="0.15">
      <c r="A57" s="117" t="s">
        <v>87</v>
      </c>
      <c r="B57" s="184">
        <v>112.56</v>
      </c>
      <c r="C57" s="121"/>
    </row>
    <row r="58" spans="1:7" ht="17" customHeight="1" x14ac:dyDescent="0.15">
      <c r="A58" s="117" t="s">
        <v>89</v>
      </c>
      <c r="B58" s="184">
        <v>125</v>
      </c>
    </row>
    <row r="59" spans="1:7" ht="17" customHeight="1" x14ac:dyDescent="0.15">
      <c r="A59" s="115" t="s">
        <v>79</v>
      </c>
      <c r="B59" s="186">
        <f>(B56*2)+(B57*2)+(B58*2)</f>
        <v>1158.8200000000002</v>
      </c>
    </row>
  </sheetData>
  <customSheetViews>
    <customSheetView guid="{AECF95C1-27BC-F14B-8EDE-44059DAFEC30}" scale="125">
      <selection activeCell="C41" sqref="C41"/>
      <pageMargins left="0.7" right="0.7" top="0.75" bottom="0.75" header="0.3" footer="0.3"/>
      <printOptions gridLines="1"/>
      <pageSetup orientation="portrait"/>
    </customSheetView>
  </customSheetViews>
  <phoneticPr fontId="8" type="noConversion"/>
  <printOptions gridLines="1"/>
  <pageMargins left="0.75" right="0.5" top="0.5" bottom="0.5" header="0.5" footer="0.5"/>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First time LW calculation</vt:lpstr>
      <vt:lpstr>Using last year's LW income</vt:lpstr>
      <vt:lpstr>Family 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Iglika Ivanova</dc:creator>
  <cp:lastModifiedBy>Iglika Ivanova</cp:lastModifiedBy>
  <cp:lastPrinted>2017-02-01T00:03:53Z</cp:lastPrinted>
  <dcterms:created xsi:type="dcterms:W3CDTF">2015-03-18T23:56:01Z</dcterms:created>
  <dcterms:modified xsi:type="dcterms:W3CDTF">2019-04-30T18:15:21Z</dcterms:modified>
</cp:coreProperties>
</file>