
<file path=[Content_Types].xml><?xml version="1.0" encoding="utf-8"?>
<Types xmlns="http://schemas.openxmlformats.org/package/2006/content-type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14355" windowHeight="15600"/>
  </bookViews>
  <sheets>
    <sheet name="1st time calculation" sheetId="15" r:id="rId1"/>
    <sheet name="CPI" sheetId="9" r:id="rId2"/>
    <sheet name="MBM" sheetId="10" r:id="rId3"/>
    <sheet name="Family Expenses" sheetId="14" r:id="rId4"/>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7" i="14"/>
  <c r="C14" i="15"/>
  <c r="B34" i="14"/>
  <c r="B43" i="15"/>
  <c r="C43"/>
  <c r="C45"/>
  <c r="C46"/>
  <c r="C47"/>
  <c r="C49"/>
  <c r="G35"/>
  <c r="G37"/>
  <c r="B33" i="14"/>
  <c r="B32"/>
  <c r="B43"/>
  <c r="B46"/>
  <c r="B6" i="15"/>
  <c r="L9" i="9"/>
  <c r="C7" i="15"/>
  <c r="B6" i="14"/>
  <c r="B8" i="15"/>
  <c r="C8"/>
  <c r="E29" i="10"/>
  <c r="E17"/>
  <c r="B28" i="14"/>
  <c r="B31"/>
  <c r="B21"/>
  <c r="G8" i="15"/>
  <c r="G36"/>
  <c r="G29"/>
  <c r="G30"/>
  <c r="G31"/>
  <c r="G32"/>
  <c r="C48"/>
  <c r="B26"/>
  <c r="C26"/>
  <c r="B44"/>
  <c r="B45"/>
  <c r="D45"/>
  <c r="G22"/>
  <c r="B12"/>
  <c r="B10" i="14"/>
  <c r="B11"/>
  <c r="B12"/>
  <c r="B13"/>
  <c r="B23"/>
  <c r="C6" i="15"/>
  <c r="B46"/>
  <c r="C42"/>
  <c r="C13"/>
  <c r="B13"/>
  <c r="D41"/>
  <c r="I25"/>
  <c r="I24"/>
  <c r="C25"/>
  <c r="C12"/>
  <c r="B36" i="14"/>
  <c r="C11" i="15"/>
  <c r="B11"/>
  <c r="C10"/>
  <c r="B14" i="14"/>
  <c r="B9" i="15"/>
  <c r="C9"/>
  <c r="B7"/>
  <c r="B47"/>
  <c r="B10"/>
  <c r="B14"/>
  <c r="D43"/>
  <c r="D55"/>
  <c r="D46"/>
  <c r="D47"/>
  <c r="C51"/>
  <c r="C52"/>
  <c r="B48"/>
  <c r="B49"/>
  <c r="D49"/>
  <c r="B18" i="14"/>
  <c r="C15" i="15"/>
  <c r="D56"/>
  <c r="D57"/>
  <c r="D48"/>
  <c r="I22"/>
  <c r="C23"/>
  <c r="B50"/>
  <c r="B51"/>
  <c r="D50"/>
  <c r="B23"/>
  <c r="C16"/>
  <c r="B15"/>
  <c r="C17"/>
  <c r="D15"/>
  <c r="C27"/>
  <c r="B27"/>
  <c r="G25"/>
  <c r="B16"/>
  <c r="D16"/>
  <c r="B52"/>
  <c r="D52"/>
  <c r="D51"/>
  <c r="B31"/>
  <c r="C36"/>
  <c r="D11"/>
  <c r="D17"/>
  <c r="D13"/>
  <c r="D14"/>
  <c r="D60"/>
  <c r="D7"/>
  <c r="D9"/>
  <c r="D12"/>
  <c r="D6"/>
  <c r="D10"/>
  <c r="D8"/>
  <c r="B17"/>
  <c r="C31"/>
  <c r="D58"/>
  <c r="D59"/>
  <c r="D61"/>
  <c r="C35"/>
  <c r="C37"/>
</calcChain>
</file>

<file path=xl/sharedStrings.xml><?xml version="1.0" encoding="utf-8"?>
<sst xmlns="http://schemas.openxmlformats.org/spreadsheetml/2006/main" count="320" uniqueCount="182">
  <si>
    <t>Living Wage Calculation: Antigonish 2016 (based on 2015 data)</t>
  </si>
  <si>
    <t>Table I: Family Expenses--Two Adults and Two Children (age 4 and 7)</t>
  </si>
  <si>
    <t>Child Tax</t>
  </si>
  <si>
    <t>Item</t>
  </si>
  <si>
    <t>Monthly</t>
  </si>
  <si>
    <t>Annually</t>
  </si>
  <si>
    <t>% of Total</t>
  </si>
  <si>
    <t>One Child Under 6</t>
  </si>
  <si>
    <t>Food</t>
  </si>
  <si>
    <t>One Child Over 6</t>
  </si>
  <si>
    <t>Clothing and Footwear</t>
  </si>
  <si>
    <t>Shelter</t>
  </si>
  <si>
    <t>Utilities</t>
  </si>
  <si>
    <t>Transportation</t>
  </si>
  <si>
    <t>Child Care</t>
  </si>
  <si>
    <t>Health Care</t>
  </si>
  <si>
    <t>Contingency/Emergency</t>
  </si>
  <si>
    <t>Parent Education</t>
  </si>
  <si>
    <t>Household Expenses</t>
  </si>
  <si>
    <t>Social Inclusion</t>
  </si>
  <si>
    <t>Total</t>
  </si>
  <si>
    <t>Table II:  Non-Wage Income (Government Transfers)</t>
  </si>
  <si>
    <t>CCB</t>
  </si>
  <si>
    <t>CCTB</t>
  </si>
  <si>
    <t>Income</t>
  </si>
  <si>
    <t>Formula</t>
  </si>
  <si>
    <t>Canada Child Tax Benefit (6 months)</t>
  </si>
  <si>
    <t>1st threshold</t>
  </si>
  <si>
    <t>BR at FNI</t>
  </si>
  <si>
    <t>2nd threshhold</t>
  </si>
  <si>
    <t>$0 at FNI</t>
  </si>
  <si>
    <t>NS Child Benefit</t>
  </si>
  <si>
    <t>No CBB at FNI</t>
  </si>
  <si>
    <t>No NCBS at FNI</t>
  </si>
  <si>
    <t>UCCB (6 months)</t>
  </si>
  <si>
    <t>CCB (6 months)</t>
  </si>
  <si>
    <t>GST</t>
  </si>
  <si>
    <t>Federal Tuition Credits</t>
  </si>
  <si>
    <t>NS Affordable Living Credit</t>
  </si>
  <si>
    <t>Tuition</t>
  </si>
  <si>
    <t>$120/mth</t>
  </si>
  <si>
    <t>$20/mth text</t>
  </si>
  <si>
    <t>Table III:  Family Income Less Family Expenses</t>
  </si>
  <si>
    <t>Provincial Tuition Credits</t>
  </si>
  <si>
    <t>Available Annual Income</t>
  </si>
  <si>
    <t>Annual Family Expenses</t>
  </si>
  <si>
    <t>$60/month</t>
  </si>
  <si>
    <t>Gap</t>
  </si>
  <si>
    <t>Table IV:  The Living Wage and Government Deductions and Taxes</t>
  </si>
  <si>
    <t>Column1</t>
  </si>
  <si>
    <t>Parent 1</t>
  </si>
  <si>
    <t>Parent 2</t>
  </si>
  <si>
    <t>Hours / Week</t>
  </si>
  <si>
    <t>Wage</t>
  </si>
  <si>
    <t>Employment Income</t>
  </si>
  <si>
    <t xml:space="preserve">Adjustments </t>
  </si>
  <si>
    <t>Net Income</t>
  </si>
  <si>
    <t>EI Premiums</t>
  </si>
  <si>
    <t>CPP Premiums</t>
  </si>
  <si>
    <t>Fed. Income Tax</t>
  </si>
  <si>
    <t>Prov. Income Tax</t>
  </si>
  <si>
    <t>Fed. Refundable Credits</t>
  </si>
  <si>
    <t>After Tax Income</t>
  </si>
  <si>
    <t>Monthly After Tax Inc.</t>
  </si>
  <si>
    <t>Table V:  Family Income less Gov't Deductions and Taxes plus Gov't Transfers</t>
  </si>
  <si>
    <t>Total Annual Income from Employment</t>
  </si>
  <si>
    <t xml:space="preserve">  - EI, CPP, Fed. and Prov. Taxes</t>
  </si>
  <si>
    <t>Equals Family Take Home Pay</t>
  </si>
  <si>
    <t xml:space="preserve">  + transfers </t>
  </si>
  <si>
    <t>Equals Total Disposable Family Income</t>
  </si>
  <si>
    <t xml:space="preserve">  - Family Expenses</t>
  </si>
  <si>
    <t>Equals Income less expenses</t>
  </si>
  <si>
    <t>Table 326-0021 Consumer Price Index (CPI), annual (2002=100)(1,2,3,4,5,6,7,9)</t>
  </si>
  <si>
    <t>Survey or program details:</t>
  </si>
  <si>
    <t>Consumer Price Index - 2301</t>
  </si>
  <si>
    <t>Geography (10)</t>
  </si>
  <si>
    <t>Products and product groups (15)</t>
  </si>
  <si>
    <t>MBM</t>
  </si>
  <si>
    <t>Nova Scotia</t>
  </si>
  <si>
    <t>All-items (16)</t>
  </si>
  <si>
    <t>Geography (4)</t>
  </si>
  <si>
    <t>Component</t>
  </si>
  <si>
    <t>Food (17)</t>
  </si>
  <si>
    <t>Shelter (18)</t>
  </si>
  <si>
    <t>Household operations, furnishings and equipment</t>
  </si>
  <si>
    <t>Clothing and footwear</t>
  </si>
  <si>
    <t>Population Under 30,000, Nova Scotia</t>
  </si>
  <si>
    <t>Gasoline</t>
  </si>
  <si>
    <t>Health and personal care</t>
  </si>
  <si>
    <t>Recreation, education and reading</t>
  </si>
  <si>
    <t>Alcoholic beverages and tobacco products</t>
  </si>
  <si>
    <t>All-items excluding food and energy (25)</t>
  </si>
  <si>
    <t>All-items excluding energy (25)</t>
  </si>
  <si>
    <t>Energy (25)</t>
  </si>
  <si>
    <t>Goods (27)</t>
  </si>
  <si>
    <t>Services (28)</t>
  </si>
  <si>
    <t>operation of motor vehicle</t>
  </si>
  <si>
    <t>Footnotes:</t>
  </si>
  <si>
    <t>The Consumer Price Index (CPI) is an indicator of the changes in consumer prices experienced by the target population. The CPI measures price change by comparing, over time, the cost of a fixed basket of goods and services. This basket is based on the expenditures of the target population in a certain reference period, currently 2011. Since the basket contains goods and services of unchanging or equivalent quantity and quality, the index reflects only pure price movements. Separate CPIs are published for Canada, the ten provinces, Whitehorse, Yellowknife and Iqaluit. Some CPI information is also available for sixteen additional urban centres. Since the CPI is a measure of price change from one time period to another, it cannot be used to indicate differences in price levels between provinces or urban centres.</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</si>
  <si>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</si>
  <si>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The Consumer Price Index (CPI) compares, in percentage terms, prices in any given time period to prices in the official base period which, at present, is 2002=100. The official time base was changed from 1992=100 to 2002=100 starting with the May 2007 data released in June 2007. The change is strictly an arithmetic conversion, which alters the index levels but leaves the percentage changes between any two periods intact, except for differences in rounding.</t>
  </si>
  <si>
    <t>The Consumer Price Index (CPI) maintains fixed quantitative proportions (weights) between goods and services during the life of a given basket. The baskets are updated periodically to take into account changes in consumer expenditure patterns. The basket reflecting the 2011 expenditure patterns replaced the 2009 basket starting with the February 2013 data released in March 2013. The continuity of the CPI series is maintained by "linking" the corresponding indexes obtained from consecutive baskets. The CPI is calculated as a weighted average of specified goods and services price indexes. The weights are derived from Survey of Household Spending data. When reconstructing or re-aggregating published CPI series, the changes in weights and the linking procedures must be taken into account. The process of linking is to apply the price movements calculated from the new basket to the series published previously. For a description of the methodology required to reconstruct or re-aggregate CPI series, see publication 62-553 The Consumer Price Index Reference Paper.</t>
  </si>
  <si>
    <t>For concepts and definitions, see publication 62-557 Your Guide to the Consumer Price Index, or publication 62-553 The Consumer Price Index Reference Paper. Additional information can also be obtained from: CPD Dissemination Unit, Consumer Prices Division, telephone: (613) 951-9606, toll-free: 1-866-230-2248, fax: (613) 951-2848, e-mail: cpd-info-dpc@statcan.gc.ca.</t>
  </si>
  <si>
    <t>Statistics Canada determined that the weights for mortgage interest cost were too high in the basket update effective January 2003. The effect on the Canada All-items Consumer Price Index (CPI) was very small, within the rounding factor of the index. Effective with the July 2004 release, the 2001 basket weights were adjusted. CPI basket weights are available in CANSIM table 326-0031.</t>
  </si>
  <si>
    <t>The Bank of Canada's Core Index (1992=100) was previously available in CANSIM table 176-0003 as the Consumer Price Index (CPI) excluding eight of the most volatile components and indirect taxes (CPIX) (1992=100).</t>
  </si>
  <si>
    <t>This table replaces CANSIM table 326-0002 which terminated with the release of April 2007 data.</t>
  </si>
  <si>
    <t>The population targeted by the Consumer Price Index (CPI) consists of families and individuals living in urban and rural private households. For practical reasons, residents of the Territories outside Whitehorse, Yellowknife and Iqaluit are not represented by the index. Previous to January 1995, the target population consisted of private households in Canadian urban centres with a population of 30,000 or more.</t>
  </si>
  <si>
    <t>With the introduction of the 1992 basket in January 1995, emphasis was shifted from urban centre data to provincial data. Urban centre all-items series were continued since many users had come to rely on this service, but the method of calculation was changed. Shelter indexes are calculated for each urban centre. This recognizes the importance of shelter in the basket, the significant and persistent differences in price movements between urban centres, and the availability of local data. For the other seven major components, the movement of the provincial counterpart is used except in the cases of Montréal, Toronto, and Vancouver, where a sub-provincial counterpart is used. The major components are aggregated using the urban centre's expenditure pattern to arrive at each urban centre's all-items index.</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</si>
  <si>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fresh vegetables". They are listed after the components of the main structure of the CPI following the last major component entitled "alcoholic beverages and tobacco products".</t>
  </si>
  <si>
    <t>The eight major components of the Consumer Price Index (CPI) basket are: "food", "shelter", "household operations, furnishings and equipment", "clothing and footwear", "transportation", "health and personal care", "recreation, education and reading", and "alcoholic beverages and tobacco products".</t>
  </si>
  <si>
    <t>Food includes non-alcoholic beverages.</t>
  </si>
  <si>
    <t>Part of the increase first recorded in the shelter index for Yellowknife for December 2004 inadvertently reflected rent increases that actually occurred earlier. As a result, the change in the shelter index was overstated in December 2004, and was understated in the previous two years. The shelter index series for Yellowknife has been corrected from December 2002. In addition, the Yellowknife all-items consumer price index (CPI) and some Yellowknife special aggregate index series have also changed. Data for Canada and all other provinces and territories were not affected.</t>
  </si>
  <si>
    <t>The special aggregate "energy" includes: "electricity", "natural gas", "fuel oil and other fuels", "gasoline", and "fuel, parts and supplies for recreational vehicles".</t>
  </si>
  <si>
    <t>Goods are physical or tangible commodities usually classified according to their life span into non-durable goods, semi-durable goods and durable goods. Non-durable goods are those goods that can be used up entirely in less than a year, assuming normal usage. For example, fresh food products, disposable cameras and gasoline are non-durable goods. Semi-durable goods are those goods that may last less than 12 months or greater than 12 months depending on the purpose to which they are put. For example, clothing, footwear and household textiles are semi-durable goods. Durable goods are those goods which may be used repeatedly or continuously over more than a year, assuming normal usage. For example, cars, audio and video equipment and furniture are durable goods.</t>
  </si>
  <si>
    <t>A service in the Consumer Price Index (CPI) is characterized by valuable work performed by an individual or organization on behalf of a consumer, for example, car tune-ups, haircuts and city public transportation. Transactions classified as a service may include the cost of goods by their nature. Examples include food in restaurant food services and materials in clothing repair services.</t>
  </si>
  <si>
    <t>Source:</t>
  </si>
  <si>
    <t>Statistics Canada. Table 326-0021 - Consumer Price Index (CPI), annual (2002=100 unless otherwise noted)</t>
  </si>
  <si>
    <t>(accessed: October 5, 2016)</t>
  </si>
  <si>
    <t>Table 326-0021 Consumer Price Index, annual (2002=100)(2,9)</t>
  </si>
  <si>
    <t>Geography</t>
  </si>
  <si>
    <t>All-items</t>
  </si>
  <si>
    <t>Private transportation</t>
  </si>
  <si>
    <t>Purchase, leasing and rental of passenger vehicles</t>
  </si>
  <si>
    <t>Operation of passenger vehicles</t>
  </si>
  <si>
    <t>Public transportation</t>
  </si>
  <si>
    <t>Local and commuter transportation</t>
  </si>
  <si>
    <t>Inter-city transportation</t>
  </si>
  <si>
    <t>Halifax, Nova Scotia [12205]  (11)</t>
  </si>
  <si>
    <t>With the introduction of the 1992 basket in January 1995, emphasis was shifted from city data to provincial data. City all-items series were continued since many users had come to rely on this service, but the method of calculation was changed. Shelter indexes are calculated for each city. This recognizes the importance of shelter in the basket, the significant and persistent differences in price movements between cities, and the availability of local data. For the other seven major components, the movement of the provincial counterpart is used except in the cases of Montréal, Toronto, and Vancouver, where a sub-provincial counterpart is used. The major components are aggregated using the city's expenditure pattern to arrive at each city's all-items index.</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</si>
  <si>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</si>
  <si>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Statistics Canada. Table 326-0021 - Consumer Price Index, annual (2002=100 unless otherwise noted)</t>
  </si>
  <si>
    <t>(accessed: October 15, 2016)</t>
  </si>
  <si>
    <t>Table 206-0093 Market Basket Measure (MBM) thresholds (2011 base) for reference family, by Market Basket Measure region and component, in current dollars and 2014 constant dollars, annual(1,2)</t>
  </si>
  <si>
    <t>Survey of Labour and Income Dynamics - 3889</t>
  </si>
  <si>
    <t>Canadian Income Survey - 5200</t>
  </si>
  <si>
    <t>Geography (3)</t>
  </si>
  <si>
    <t>Dollar concept</t>
  </si>
  <si>
    <t>Nova Scotia, rural</t>
  </si>
  <si>
    <t>2014 constant dollars</t>
  </si>
  <si>
    <t>Total threshold</t>
  </si>
  <si>
    <t>Clothing</t>
  </si>
  <si>
    <t>Other expenses</t>
  </si>
  <si>
    <t>Nova Scotia, population under 30,000</t>
  </si>
  <si>
    <t>Nova Scotia, population 30,000 to 99,999</t>
  </si>
  <si>
    <t>Halifax, Nova Scotia</t>
  </si>
  <si>
    <t>Cape Breton, Nova Scotia</t>
  </si>
  <si>
    <t>Source: Income Statistics Division, Statistics Canada</t>
  </si>
  <si>
    <t>The Market Basket Measure (MBM), developed by Employment and Social Development Canada, attempts to measure a standard of living that is a compromise between subsistence and social inclusion. It also reflects differences in living costs across regions. The MBM represents the cost of a basket that includes: a nutritious diet, clothing and footwear, shelter, transportation, and other necessary goods and services (such as personal care items or household supplies). The cost of the basket is compared to disposable income for each family to determine low income rates.</t>
  </si>
  <si>
    <t>Rural areas: includes communities with a population of less than 1,000 or with a population density less than 400 persons per square kilometer that are located outside Census metropolitan areas (CMAs) or Census agglomerations (CAs). Population under 30,000 : CAs below 30,000 and population centres below 10,000 persons. Population 30,000 to 99,999 : CAs between 30,000 and 99,999 persons. Population 100,000 to 499,999: CMAs between 100,000 and 499,999. Population 500,000 and over: CMAs with 500,000 or more persons. Specific city name refers to the population within the CMA or CA.</t>
  </si>
  <si>
    <t>Statistics Canada. Table 206-0093 - Market Basket Measure (MBM) thresholds (2011 base) for reference family, by Market Basket Measure region and component, in current dollars and 2014 constant dollars, annual</t>
  </si>
  <si>
    <t>(accessed: October 25, 2016)</t>
  </si>
  <si>
    <t>Family Expenses</t>
  </si>
  <si>
    <t>Rent</t>
  </si>
  <si>
    <t>Content Insurance</t>
  </si>
  <si>
    <t>Total Monthly</t>
  </si>
  <si>
    <t>NS Power</t>
  </si>
  <si>
    <t>Base Customer Charge</t>
  </si>
  <si>
    <t>Rate/KWh (1100)</t>
  </si>
  <si>
    <t>HST</t>
  </si>
  <si>
    <t>Energy Rebate</t>
  </si>
  <si>
    <t>Market Basket Measure 'Other' Annual</t>
  </si>
  <si>
    <t xml:space="preserve"> Transportation</t>
  </si>
  <si>
    <t>12monthly bus passes</t>
  </si>
  <si>
    <t xml:space="preserve">Private Vehicle </t>
  </si>
  <si>
    <t>Total Annual</t>
  </si>
  <si>
    <t>Annual Tuition</t>
  </si>
  <si>
    <t>Average Student Fees</t>
  </si>
  <si>
    <t>Preschool Full Time (4y/o)</t>
  </si>
  <si>
    <t>Before/After School(7y/o)</t>
  </si>
  <si>
    <t>Summer &amp; March Break (7y/o)</t>
  </si>
  <si>
    <t>9 PD, Dec Break, Nonstat Holidays</t>
  </si>
  <si>
    <t>15 days</t>
  </si>
  <si>
    <t>Child Care Subsidy*</t>
  </si>
  <si>
    <t>*formula unavailable</t>
  </si>
  <si>
    <t>Food Costs (2015)</t>
  </si>
  <si>
    <t>Woman age 31-50</t>
  </si>
  <si>
    <t>Man age 31-50</t>
  </si>
  <si>
    <t>Boy age 7</t>
  </si>
  <si>
    <t>Girl age 4</t>
  </si>
  <si>
    <t>NS Average</t>
  </si>
  <si>
    <t>Rural Average NS</t>
  </si>
  <si>
    <t>Adjusted food expenses</t>
  </si>
</sst>
</file>

<file path=xl/styles.xml><?xml version="1.0" encoding="utf-8"?>
<styleSheet xmlns="http://schemas.openxmlformats.org/spreadsheetml/2006/main">
  <numFmts count="6">
    <numFmt numFmtId="6" formatCode="&quot;$&quot;#,##0;[Red]\-&quot;$&quot;#,##0"/>
    <numFmt numFmtId="44" formatCode="_-&quot;$&quot;* #,##0.00_-;\-&quot;$&quot;* #,##0.00_-;_-&quot;$&quot;* &quot;-&quot;??_-;_-@_-"/>
    <numFmt numFmtId="164" formatCode="&quot;$&quot;#,##0.00_);[Red]\(&quot;$&quot;#,##0.00\)"/>
    <numFmt numFmtId="165" formatCode="&quot;$&quot;#,##0.00"/>
    <numFmt numFmtId="166" formatCode="0.0%"/>
    <numFmt numFmtId="167" formatCode="0.000"/>
  </numFmts>
  <fonts count="20">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name val="Verdana"/>
      <family val="2"/>
    </font>
    <font>
      <b/>
      <sz val="11"/>
      <color indexed="8"/>
      <name val="Calibri"/>
      <family val="2"/>
    </font>
    <font>
      <b/>
      <sz val="11"/>
      <name val="Arial"/>
      <family val="2"/>
    </font>
    <font>
      <sz val="11"/>
      <name val="Calibri"/>
      <family val="2"/>
    </font>
    <font>
      <sz val="11"/>
      <color rgb="FF006100"/>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sz val="11"/>
      <name val="Calibri"/>
      <family val="2"/>
      <scheme val="minor"/>
    </font>
    <font>
      <b/>
      <sz val="11"/>
      <name val="Calibri"/>
      <family val="2"/>
    </font>
    <font>
      <b/>
      <sz val="13"/>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6"/>
      <color indexed="54"/>
      <name val="Calibri"/>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29">
    <xf numFmtId="0" fontId="0" fillId="0" borderId="0"/>
    <xf numFmtId="44" fontId="1" fillId="0" borderId="0" applyFont="0" applyFill="0" applyBorder="0" applyAlignment="0" applyProtection="0"/>
    <xf numFmtId="0" fontId="9"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9" fontId="1" fillId="0" borderId="0" applyFon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56">
    <xf numFmtId="0" fontId="0" fillId="0" borderId="0" xfId="0"/>
    <xf numFmtId="0" fontId="2" fillId="0" borderId="0" xfId="0" applyFont="1" applyFill="1"/>
    <xf numFmtId="2" fontId="2" fillId="0" borderId="0" xfId="0" applyNumberFormat="1" applyFont="1" applyFill="1"/>
    <xf numFmtId="0" fontId="3" fillId="0" borderId="0" xfId="0" applyFont="1" applyFill="1" applyAlignment="1">
      <alignment horizontal="left"/>
    </xf>
    <xf numFmtId="2" fontId="3" fillId="0" borderId="0" xfId="0" applyNumberFormat="1" applyFont="1" applyFill="1"/>
    <xf numFmtId="0" fontId="3" fillId="0" borderId="0" xfId="0" applyFont="1" applyFill="1"/>
    <xf numFmtId="0" fontId="2"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xf numFmtId="0" fontId="3" fillId="0" borderId="0" xfId="0" applyFont="1" applyFill="1" applyBorder="1" applyAlignment="1">
      <alignment horizontal="right"/>
    </xf>
    <xf numFmtId="0" fontId="0" fillId="0" borderId="0" xfId="0" applyFill="1"/>
    <xf numFmtId="0" fontId="2" fillId="0" borderId="1" xfId="0" applyFont="1" applyFill="1" applyBorder="1"/>
    <xf numFmtId="2" fontId="2" fillId="0" borderId="1" xfId="0" applyNumberFormat="1" applyFont="1" applyFill="1" applyBorder="1"/>
    <xf numFmtId="0" fontId="2" fillId="0" borderId="0" xfId="0" applyFont="1" applyFill="1" applyBorder="1" applyAlignment="1">
      <alignment horizontal="right"/>
    </xf>
    <xf numFmtId="0" fontId="2" fillId="0" borderId="1" xfId="0" applyFont="1" applyFill="1" applyBorder="1" applyAlignment="1">
      <alignment horizontal="right"/>
    </xf>
    <xf numFmtId="165" fontId="2" fillId="0" borderId="1" xfId="0" applyNumberFormat="1" applyFont="1" applyFill="1" applyBorder="1" applyAlignment="1">
      <alignment horizontal="right" vertical="center"/>
    </xf>
    <xf numFmtId="0" fontId="2" fillId="0" borderId="0" xfId="0" applyFont="1" applyFill="1" applyAlignment="1">
      <alignment horizontal="left"/>
    </xf>
    <xf numFmtId="0" fontId="2" fillId="0" borderId="1" xfId="0" applyFont="1" applyFill="1" applyBorder="1" applyAlignment="1">
      <alignment horizontal="right" vertical="center"/>
    </xf>
    <xf numFmtId="167" fontId="2" fillId="0" borderId="0" xfId="0" applyNumberFormat="1" applyFont="1" applyFill="1" applyBorder="1" applyAlignment="1">
      <alignment horizontal="right"/>
    </xf>
    <xf numFmtId="0" fontId="2" fillId="0" borderId="0" xfId="0" applyFont="1" applyFill="1" applyBorder="1" applyAlignment="1">
      <alignment horizontal="center" wrapText="1"/>
    </xf>
    <xf numFmtId="165" fontId="2" fillId="0" borderId="1" xfId="0" applyNumberFormat="1" applyFont="1" applyFill="1" applyBorder="1"/>
    <xf numFmtId="0" fontId="2" fillId="0" borderId="0" xfId="0" applyFont="1" applyFill="1" applyBorder="1" applyAlignment="1">
      <alignment horizontal="center" vertical="center" wrapText="1"/>
    </xf>
    <xf numFmtId="167" fontId="2" fillId="0" borderId="0" xfId="0" applyNumberFormat="1" applyFont="1" applyFill="1" applyBorder="1" applyAlignment="1">
      <alignment horizontal="left"/>
    </xf>
    <xf numFmtId="0" fontId="2" fillId="0" borderId="0" xfId="0" applyFont="1" applyFill="1" applyAlignment="1">
      <alignment horizontal="center"/>
    </xf>
    <xf numFmtId="2" fontId="2" fillId="0" borderId="0" xfId="0" applyNumberFormat="1" applyFont="1" applyFill="1" applyBorder="1"/>
    <xf numFmtId="2" fontId="3" fillId="0" borderId="0" xfId="0" applyNumberFormat="1" applyFont="1" applyFill="1" applyBorder="1" applyAlignment="1">
      <alignment horizontal="center"/>
    </xf>
    <xf numFmtId="0" fontId="3" fillId="0" borderId="1"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Alignment="1">
      <alignment horizontal="right"/>
    </xf>
    <xf numFmtId="2" fontId="3" fillId="0" borderId="0" xfId="0" applyNumberFormat="1" applyFont="1" applyFill="1" applyBorder="1"/>
    <xf numFmtId="2" fontId="3" fillId="0" borderId="0" xfId="0" applyNumberFormat="1" applyFont="1" applyFill="1" applyAlignment="1">
      <alignment horizontal="center"/>
    </xf>
    <xf numFmtId="0" fontId="3" fillId="0" borderId="0" xfId="0" applyFont="1" applyFill="1" applyBorder="1"/>
    <xf numFmtId="0" fontId="2" fillId="0" borderId="0" xfId="0" applyFont="1" applyFill="1" applyBorder="1" applyAlignment="1">
      <alignment horizontal="center"/>
    </xf>
    <xf numFmtId="1" fontId="2" fillId="0" borderId="1" xfId="0" applyNumberFormat="1" applyFont="1" applyFill="1" applyBorder="1"/>
    <xf numFmtId="2" fontId="5" fillId="0" borderId="1" xfId="0" applyNumberFormat="1" applyFont="1" applyBorder="1"/>
    <xf numFmtId="165" fontId="5" fillId="0" borderId="1" xfId="0" applyNumberFormat="1" applyFont="1" applyBorder="1"/>
    <xf numFmtId="0" fontId="2" fillId="0" borderId="1" xfId="2" applyFont="1" applyFill="1" applyBorder="1" applyAlignment="1">
      <alignment horizontal="left"/>
    </xf>
    <xf numFmtId="165" fontId="2" fillId="0" borderId="1" xfId="2" applyNumberFormat="1" applyFont="1" applyFill="1" applyBorder="1"/>
    <xf numFmtId="0" fontId="2" fillId="0" borderId="4" xfId="0" applyFont="1" applyFill="1" applyBorder="1" applyAlignment="1">
      <alignment horizontal="left"/>
    </xf>
    <xf numFmtId="2" fontId="11" fillId="0" borderId="0" xfId="4" applyNumberFormat="1" applyFill="1" applyBorder="1" applyAlignment="1">
      <alignment horizontal="left"/>
    </xf>
    <xf numFmtId="0" fontId="3" fillId="0" borderId="1" xfId="0" applyFont="1" applyFill="1" applyBorder="1" applyAlignment="1">
      <alignment horizontal="center"/>
    </xf>
    <xf numFmtId="0" fontId="3" fillId="0" borderId="3" xfId="0" applyFont="1" applyFill="1" applyBorder="1" applyAlignment="1">
      <alignment horizontal="center"/>
    </xf>
    <xf numFmtId="165"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165" fontId="3" fillId="0" borderId="1" xfId="0" applyNumberFormat="1" applyFont="1" applyFill="1" applyBorder="1"/>
    <xf numFmtId="165" fontId="3" fillId="0" borderId="1" xfId="2" applyNumberFormat="1" applyFont="1" applyFill="1" applyBorder="1"/>
    <xf numFmtId="165" fontId="3" fillId="0" borderId="1" xfId="0" applyNumberFormat="1"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right"/>
    </xf>
    <xf numFmtId="3" fontId="0" fillId="0" borderId="0" xfId="0" applyNumberFormat="1"/>
    <xf numFmtId="6" fontId="0" fillId="0" borderId="0" xfId="0" applyNumberFormat="1"/>
    <xf numFmtId="0" fontId="0" fillId="0" borderId="1" xfId="0" applyBorder="1"/>
    <xf numFmtId="165" fontId="0" fillId="0" borderId="0" xfId="0" applyNumberFormat="1"/>
    <xf numFmtId="165" fontId="8" fillId="0" borderId="1" xfId="0" applyNumberFormat="1" applyFont="1" applyBorder="1"/>
    <xf numFmtId="165" fontId="8" fillId="0" borderId="0" xfId="0" applyNumberFormat="1" applyFont="1"/>
    <xf numFmtId="166" fontId="2" fillId="0" borderId="0" xfId="2" applyNumberFormat="1" applyFont="1" applyFill="1" applyBorder="1" applyAlignment="1">
      <alignment horizontal="center"/>
    </xf>
    <xf numFmtId="44" fontId="0" fillId="0" borderId="1" xfId="1" applyFont="1" applyBorder="1"/>
    <xf numFmtId="44" fontId="0" fillId="0" borderId="0" xfId="1" applyFont="1"/>
    <xf numFmtId="9" fontId="0" fillId="0" borderId="0" xfId="5" applyFont="1"/>
    <xf numFmtId="0" fontId="16" fillId="0" borderId="1" xfId="0" applyFont="1" applyBorder="1"/>
    <xf numFmtId="165" fontId="0" fillId="0" borderId="1" xfId="0" applyNumberFormat="1" applyBorder="1"/>
    <xf numFmtId="44" fontId="16" fillId="0" borderId="1" xfId="1" applyFont="1" applyBorder="1"/>
    <xf numFmtId="0" fontId="4" fillId="0" borderId="0" xfId="0" applyFont="1" applyFill="1"/>
    <xf numFmtId="0" fontId="0" fillId="0" borderId="0" xfId="0"/>
    <xf numFmtId="0" fontId="16" fillId="0" borderId="0" xfId="0" applyFont="1"/>
    <xf numFmtId="0" fontId="3" fillId="0" borderId="4" xfId="0" applyFont="1" applyFill="1" applyBorder="1" applyAlignment="1">
      <alignment horizontal="center"/>
    </xf>
    <xf numFmtId="0" fontId="0" fillId="0" borderId="0" xfId="0" applyNumberFormat="1"/>
    <xf numFmtId="44" fontId="2" fillId="0" borderId="0" xfId="1" applyFont="1" applyFill="1"/>
    <xf numFmtId="0" fontId="0" fillId="0" borderId="0" xfId="0" applyAlignment="1">
      <alignment wrapText="1"/>
    </xf>
    <xf numFmtId="166" fontId="0" fillId="0" borderId="0" xfId="5" applyNumberFormat="1" applyFont="1"/>
    <xf numFmtId="0" fontId="2" fillId="0" borderId="1" xfId="0" applyFont="1" applyFill="1" applyBorder="1" applyAlignment="1">
      <alignment horizontal="left"/>
    </xf>
    <xf numFmtId="165" fontId="8" fillId="0" borderId="1" xfId="0" applyNumberFormat="1" applyFont="1" applyFill="1" applyBorder="1" applyAlignment="1">
      <alignment horizontal="left"/>
    </xf>
    <xf numFmtId="0" fontId="2" fillId="0" borderId="2" xfId="0" applyFont="1" applyFill="1" applyBorder="1" applyAlignment="1">
      <alignment horizontal="left"/>
    </xf>
    <xf numFmtId="165" fontId="13" fillId="0" borderId="2" xfId="0" applyNumberFormat="1" applyFont="1" applyFill="1" applyBorder="1" applyAlignment="1">
      <alignment horizontal="left"/>
    </xf>
    <xf numFmtId="165" fontId="14" fillId="0" borderId="1" xfId="0" applyNumberFormat="1" applyFont="1" applyFill="1" applyBorder="1" applyAlignment="1">
      <alignment horizontal="left"/>
    </xf>
    <xf numFmtId="0" fontId="13" fillId="0" borderId="0" xfId="0" applyFont="1" applyFill="1" applyAlignment="1">
      <alignment horizontal="left"/>
    </xf>
    <xf numFmtId="2" fontId="2" fillId="0" borderId="1" xfId="0" applyNumberFormat="1" applyFont="1" applyFill="1" applyBorder="1" applyAlignment="1">
      <alignment horizontal="left"/>
    </xf>
    <xf numFmtId="165" fontId="2" fillId="0" borderId="1" xfId="0" applyNumberFormat="1" applyFont="1" applyFill="1" applyBorder="1" applyAlignment="1">
      <alignment horizontal="left" vertical="center"/>
    </xf>
    <xf numFmtId="165" fontId="3" fillId="0" borderId="1" xfId="0" applyNumberFormat="1" applyFont="1" applyFill="1" applyBorder="1" applyAlignment="1">
      <alignment horizontal="left"/>
    </xf>
    <xf numFmtId="0" fontId="13" fillId="0" borderId="0" xfId="6" applyFont="1" applyFill="1" applyAlignment="1">
      <alignment horizontal="left"/>
    </xf>
    <xf numFmtId="0" fontId="13" fillId="0" borderId="1" xfId="0" applyFont="1" applyBorder="1" applyAlignment="1">
      <alignment horizontal="left"/>
    </xf>
    <xf numFmtId="165" fontId="2" fillId="0" borderId="1" xfId="0" applyNumberFormat="1" applyFont="1" applyFill="1" applyBorder="1" applyAlignment="1">
      <alignment horizontal="left"/>
    </xf>
    <xf numFmtId="165" fontId="2" fillId="0" borderId="1" xfId="2" applyNumberFormat="1" applyFont="1" applyFill="1" applyBorder="1" applyAlignment="1">
      <alignment horizontal="left"/>
    </xf>
    <xf numFmtId="165" fontId="3" fillId="0" borderId="1" xfId="0" applyNumberFormat="1" applyFont="1" applyFill="1" applyBorder="1" applyAlignment="1">
      <alignment horizontal="left" vertical="center"/>
    </xf>
    <xf numFmtId="0" fontId="0" fillId="0" borderId="0" xfId="0" applyAlignment="1">
      <alignment horizontal="left"/>
    </xf>
    <xf numFmtId="0" fontId="2" fillId="0" borderId="3" xfId="2" applyFont="1" applyFill="1" applyBorder="1" applyAlignment="1">
      <alignment horizontal="left"/>
    </xf>
    <xf numFmtId="165" fontId="6" fillId="0" borderId="1" xfId="0" applyNumberFormat="1" applyFont="1" applyBorder="1" applyAlignment="1">
      <alignment horizontal="left"/>
    </xf>
    <xf numFmtId="0" fontId="0" fillId="0" borderId="1" xfId="0" applyBorder="1" applyAlignment="1">
      <alignment horizontal="left"/>
    </xf>
    <xf numFmtId="165" fontId="2" fillId="0" borderId="1" xfId="1" applyNumberFormat="1" applyFont="1" applyFill="1" applyBorder="1" applyAlignment="1">
      <alignment horizontal="left"/>
    </xf>
    <xf numFmtId="0" fontId="4" fillId="0" borderId="0" xfId="0" applyFont="1"/>
    <xf numFmtId="0" fontId="0" fillId="0" borderId="0" xfId="0" applyAlignment="1">
      <alignment horizontal="center"/>
    </xf>
    <xf numFmtId="0" fontId="2" fillId="0" borderId="0" xfId="0" applyFont="1"/>
    <xf numFmtId="0" fontId="3" fillId="0" borderId="4" xfId="0" applyFont="1" applyFill="1" applyBorder="1"/>
    <xf numFmtId="0" fontId="2" fillId="0" borderId="4" xfId="2" applyFont="1" applyFill="1" applyBorder="1"/>
    <xf numFmtId="0" fontId="2" fillId="0" borderId="4" xfId="2" applyFont="1" applyFill="1" applyBorder="1" applyAlignment="1">
      <alignment horizontal="left"/>
    </xf>
    <xf numFmtId="166" fontId="2" fillId="0" borderId="3" xfId="2" applyNumberFormat="1" applyFont="1" applyFill="1" applyBorder="1" applyAlignment="1">
      <alignment horizontal="center"/>
    </xf>
    <xf numFmtId="10" fontId="2" fillId="0" borderId="3" xfId="2" applyNumberFormat="1" applyFont="1" applyFill="1" applyBorder="1" applyAlignment="1">
      <alignment horizontal="center"/>
    </xf>
    <xf numFmtId="0" fontId="3" fillId="0" borderId="8" xfId="0" applyFont="1" applyFill="1" applyBorder="1"/>
    <xf numFmtId="2" fontId="3" fillId="0" borderId="9" xfId="0" applyNumberFormat="1"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xf numFmtId="165" fontId="3" fillId="0" borderId="2" xfId="0" applyNumberFormat="1" applyFont="1" applyFill="1" applyBorder="1"/>
    <xf numFmtId="166" fontId="3" fillId="0" borderId="12" xfId="5" applyNumberFormat="1" applyFont="1" applyFill="1" applyBorder="1" applyAlignment="1">
      <alignment horizontal="center"/>
    </xf>
    <xf numFmtId="165" fontId="2" fillId="0" borderId="3" xfId="2" applyNumberFormat="1" applyFont="1" applyFill="1" applyBorder="1"/>
    <xf numFmtId="0" fontId="3" fillId="0" borderId="8" xfId="0" applyFont="1" applyFill="1" applyBorder="1" applyAlignment="1">
      <alignment horizontal="left"/>
    </xf>
    <xf numFmtId="165" fontId="3" fillId="0" borderId="12" xfId="0" applyNumberFormat="1" applyFont="1" applyFill="1" applyBorder="1"/>
    <xf numFmtId="0" fontId="2" fillId="0" borderId="4" xfId="0" applyFont="1" applyFill="1" applyBorder="1"/>
    <xf numFmtId="0" fontId="5" fillId="0" borderId="4" xfId="0" applyFont="1" applyBorder="1"/>
    <xf numFmtId="0" fontId="3" fillId="0" borderId="4" xfId="2" applyFont="1" applyFill="1" applyBorder="1"/>
    <xf numFmtId="0" fontId="2" fillId="0" borderId="3" xfId="0" applyFont="1" applyFill="1" applyBorder="1"/>
    <xf numFmtId="2" fontId="5" fillId="0" borderId="3" xfId="0" applyNumberFormat="1" applyFont="1" applyBorder="1"/>
    <xf numFmtId="165" fontId="3" fillId="0" borderId="3" xfId="2" applyNumberFormat="1" applyFont="1" applyFill="1" applyBorder="1"/>
    <xf numFmtId="165" fontId="2" fillId="0" borderId="3" xfId="0" applyNumberFormat="1" applyFont="1" applyFill="1" applyBorder="1"/>
    <xf numFmtId="0" fontId="3" fillId="0" borderId="8" xfId="0" applyFont="1" applyFill="1" applyBorder="1" applyAlignment="1">
      <alignment horizontal="center"/>
    </xf>
    <xf numFmtId="0" fontId="2" fillId="0" borderId="11" xfId="0" applyFont="1" applyFill="1" applyBorder="1"/>
    <xf numFmtId="165" fontId="2" fillId="0" borderId="2" xfId="0" applyNumberFormat="1" applyFont="1" applyFill="1" applyBorder="1"/>
    <xf numFmtId="165" fontId="2" fillId="0" borderId="12" xfId="0" applyNumberFormat="1" applyFont="1" applyFill="1" applyBorder="1"/>
    <xf numFmtId="166" fontId="2" fillId="0" borderId="0" xfId="2" applyNumberFormat="1" applyFont="1" applyFill="1" applyBorder="1" applyAlignment="1">
      <alignment horizontal="left"/>
    </xf>
    <xf numFmtId="2" fontId="3" fillId="0" borderId="0" xfId="0" applyNumberFormat="1" applyFont="1" applyFill="1" applyBorder="1" applyAlignment="1">
      <alignment horizontal="right"/>
    </xf>
    <xf numFmtId="165" fontId="0" fillId="0" borderId="0" xfId="1" applyNumberFormat="1" applyFont="1" applyAlignment="1">
      <alignment horizontal="left"/>
    </xf>
    <xf numFmtId="165" fontId="3" fillId="0" borderId="0" xfId="1" applyNumberFormat="1" applyFont="1" applyFill="1" applyBorder="1" applyAlignment="1">
      <alignment horizontal="left"/>
    </xf>
    <xf numFmtId="165" fontId="0" fillId="0" borderId="0" xfId="0" applyNumberFormat="1" applyAlignment="1">
      <alignment horizontal="left"/>
    </xf>
    <xf numFmtId="165" fontId="2" fillId="0" borderId="0" xfId="1" applyNumberFormat="1" applyFont="1" applyFill="1" applyAlignment="1">
      <alignment horizontal="left"/>
    </xf>
    <xf numFmtId="0" fontId="2" fillId="0" borderId="1" xfId="2" applyFont="1" applyFill="1" applyBorder="1"/>
    <xf numFmtId="165" fontId="0" fillId="3" borderId="0" xfId="1" applyNumberFormat="1" applyFont="1" applyFill="1" applyAlignment="1">
      <alignment horizontal="left"/>
    </xf>
    <xf numFmtId="0" fontId="3" fillId="0" borderId="3" xfId="2" applyFont="1" applyFill="1" applyBorder="1" applyAlignment="1">
      <alignment horizontal="left"/>
    </xf>
    <xf numFmtId="0" fontId="3" fillId="0" borderId="4" xfId="2" applyFont="1" applyFill="1" applyBorder="1" applyAlignment="1">
      <alignment horizontal="left"/>
    </xf>
    <xf numFmtId="2" fontId="0" fillId="0" borderId="0" xfId="0" applyNumberFormat="1"/>
    <xf numFmtId="164" fontId="2" fillId="0" borderId="0" xfId="0" applyNumberFormat="1" applyFont="1" applyFill="1" applyAlignment="1">
      <alignment horizontal="left"/>
    </xf>
    <xf numFmtId="165" fontId="0" fillId="0" borderId="1" xfId="1" applyNumberFormat="1" applyFont="1" applyBorder="1" applyAlignment="1">
      <alignment horizontal="left"/>
    </xf>
    <xf numFmtId="0" fontId="2" fillId="0" borderId="3" xfId="0" applyFont="1" applyFill="1" applyBorder="1" applyAlignment="1">
      <alignment horizontal="left"/>
    </xf>
    <xf numFmtId="0" fontId="11" fillId="0" borderId="0" xfId="4" applyFill="1" applyBorder="1" applyAlignment="1">
      <alignment horizontal="left"/>
    </xf>
    <xf numFmtId="0" fontId="3" fillId="0" borderId="3"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4" borderId="0" xfId="0" applyFill="1"/>
    <xf numFmtId="165" fontId="2" fillId="4" borderId="1" xfId="2" applyNumberFormat="1" applyFont="1" applyFill="1" applyBorder="1" applyAlignment="1">
      <alignment horizontal="left"/>
    </xf>
    <xf numFmtId="0" fontId="2" fillId="0" borderId="3" xfId="0" applyFont="1" applyFill="1" applyBorder="1" applyAlignment="1">
      <alignment horizontal="left"/>
    </xf>
    <xf numFmtId="0" fontId="0" fillId="0" borderId="5" xfId="0" applyBorder="1" applyAlignment="1"/>
    <xf numFmtId="0" fontId="0" fillId="0" borderId="4" xfId="0" applyBorder="1" applyAlignment="1"/>
    <xf numFmtId="0" fontId="19" fillId="0" borderId="0" xfId="3" applyFont="1" applyFill="1" applyBorder="1" applyAlignment="1">
      <alignment horizontal="center"/>
    </xf>
    <xf numFmtId="0" fontId="11" fillId="0" borderId="0" xfId="4" applyFill="1" applyBorder="1" applyAlignment="1">
      <alignment horizontal="left"/>
    </xf>
    <xf numFmtId="2" fontId="15" fillId="0" borderId="0" xfId="4" applyNumberFormat="1" applyFont="1" applyFill="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0" xfId="0" applyFont="1" applyFill="1" applyAlignment="1">
      <alignment horizontal="center"/>
    </xf>
    <xf numFmtId="0" fontId="3" fillId="0" borderId="3" xfId="0" applyFont="1" applyFill="1" applyBorder="1" applyAlignment="1">
      <alignment horizontal="left"/>
    </xf>
    <xf numFmtId="0" fontId="3" fillId="0" borderId="4"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2" fontId="3" fillId="0" borderId="3" xfId="0" applyNumberFormat="1" applyFont="1" applyFill="1" applyBorder="1" applyAlignment="1">
      <alignment horizontal="left"/>
    </xf>
    <xf numFmtId="2" fontId="3" fillId="0" borderId="4" xfId="0" applyNumberFormat="1" applyFont="1" applyFill="1" applyBorder="1" applyAlignment="1">
      <alignment horizontal="left"/>
    </xf>
  </cellXfs>
  <cellStyles count="29">
    <cellStyle name="Currency" xfId="1" builtinId="4"/>
    <cellStyle name="Followed Hyperlink" xfId="28" builtinId="9" hidden="1"/>
    <cellStyle name="Followed Hyperlink" xfId="12" builtinId="9" hidden="1"/>
    <cellStyle name="Followed Hyperlink" xfId="24" builtinId="9" hidden="1"/>
    <cellStyle name="Followed Hyperlink" xfId="10" builtinId="9" hidden="1"/>
    <cellStyle name="Followed Hyperlink" xfId="18" builtinId="9" hidden="1"/>
    <cellStyle name="Followed Hyperlink" xfId="14" builtinId="9" hidden="1"/>
    <cellStyle name="Followed Hyperlink" xfId="20" builtinId="9" hidden="1"/>
    <cellStyle name="Followed Hyperlink" xfId="16" builtinId="9" hidden="1"/>
    <cellStyle name="Followed Hyperlink" xfId="26" builtinId="9" hidden="1"/>
    <cellStyle name="Followed Hyperlink" xfId="22" builtinId="9" hidden="1"/>
    <cellStyle name="Followed Hyperlink" xfId="8" builtinId="9" hidden="1"/>
    <cellStyle name="Good" xfId="2" builtinId="26"/>
    <cellStyle name="Heading 1" xfId="3" builtinId="16"/>
    <cellStyle name="Heading 2" xfId="4" builtinId="17"/>
    <cellStyle name="Hyperlink" xfId="13" builtinId="8" hidden="1"/>
    <cellStyle name="Hyperlink" xfId="23" builtinId="8" hidden="1"/>
    <cellStyle name="Hyperlink" xfId="25" builtinId="8" hidden="1"/>
    <cellStyle name="Hyperlink" xfId="17" builtinId="8" hidden="1"/>
    <cellStyle name="Hyperlink" xfId="19" builtinId="8" hidden="1"/>
    <cellStyle name="Hyperlink" xfId="21" builtinId="8" hidden="1"/>
    <cellStyle name="Hyperlink" xfId="7" builtinId="8" hidden="1"/>
    <cellStyle name="Hyperlink" xfId="27" builtinId="8" hidden="1"/>
    <cellStyle name="Hyperlink" xfId="9" builtinId="8" hidden="1"/>
    <cellStyle name="Hyperlink" xfId="11" builtinId="8" hidden="1"/>
    <cellStyle name="Hyperlink" xfId="15" builtinId="8" hidden="1"/>
    <cellStyle name="Normal" xfId="0" builtinId="0"/>
    <cellStyle name="Percent" xfId="5" builtinId="5"/>
    <cellStyle name="Warning Text" xfId="6" builtinId="11"/>
  </cellStyles>
  <dxfs count="20">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relative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indexed="65"/>
        </patternFill>
      </fill>
      <alignment horizontal="center" vertical="bottom" textRotation="0" wrapText="0" indent="0" relative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6" name="Table37" displayName="Table37" ref="A5:D17" totalsRowShown="0" headerRowBorderDxfId="19" tableBorderDxfId="18">
  <autoFilter ref="A5:D17"/>
  <tableColumns count="4">
    <tableColumn id="1" name="Item" dataDxfId="17" dataCellStyle="Good"/>
    <tableColumn id="2" name="Monthly" dataDxfId="16" dataCellStyle="Good"/>
    <tableColumn id="3" name="Annually" dataDxfId="15" dataCellStyle="Good"/>
    <tableColumn id="4" name="% of Total" dataDxfId="14" dataCellStyle="Good"/>
  </tableColumns>
  <tableStyleInfo name="TableStyleLight1" showFirstColumn="0" showLastColumn="0" showRowStripes="1" showColumnStripes="0"/>
</table>
</file>

<file path=xl/tables/table2.xml><?xml version="1.0" encoding="utf-8"?>
<table xmlns="http://schemas.openxmlformats.org/spreadsheetml/2006/main" id="7" name="Table48" displayName="Table48" ref="A22:C31" totalsRowShown="0" headerRowBorderDxfId="13" tableBorderDxfId="12" totalsRowBorderDxfId="11">
  <autoFilter ref="A22:C31"/>
  <tableColumns count="3">
    <tableColumn id="1" name="Income" dataDxfId="10" dataCellStyle="Good"/>
    <tableColumn id="2" name="Monthly" dataDxfId="9" dataCellStyle="Good"/>
    <tableColumn id="3" name="Annually" dataDxfId="8" dataCellStyle="Good"/>
  </tableColumns>
  <tableStyleInfo name="TableStyleLight1" showFirstColumn="0" showLastColumn="0" showRowStripes="1" showColumnStripes="0"/>
</table>
</file>

<file path=xl/tables/table3.xml><?xml version="1.0" encoding="utf-8"?>
<table xmlns="http://schemas.openxmlformats.org/spreadsheetml/2006/main" id="8" name="Table59" displayName="Table59" ref="A40:D52" totalsRowShown="0" headerRowDxfId="7" headerRowBorderDxfId="6" tableBorderDxfId="5" totalsRowBorderDxfId="4">
  <autoFilter ref="A40:D52"/>
  <tableColumns count="4">
    <tableColumn id="1" name="Column1" dataDxfId="3"/>
    <tableColumn id="2" name="Parent 1" dataDxfId="2"/>
    <tableColumn id="3" name="Parent 2" dataDxfId="1"/>
    <tableColumn id="4" name="Total" dataDxfId="0">
      <calculatedColumnFormula>B41+C41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P68"/>
  <sheetViews>
    <sheetView tabSelected="1" topLeftCell="A7" zoomScale="87" zoomScaleNormal="87" zoomScalePageLayoutView="87" workbookViewId="0">
      <selection activeCell="B43" sqref="B43"/>
    </sheetView>
  </sheetViews>
  <sheetFormatPr defaultColWidth="8.85546875" defaultRowHeight="15"/>
  <cols>
    <col min="1" max="1" width="23.85546875" style="64" customWidth="1"/>
    <col min="2" max="2" width="13.42578125" style="64" customWidth="1"/>
    <col min="3" max="3" width="11.85546875" style="64" customWidth="1"/>
    <col min="4" max="4" width="12" style="64" customWidth="1"/>
    <col min="5" max="5" width="28.42578125" style="64" customWidth="1"/>
    <col min="6" max="6" width="20.42578125" style="64" customWidth="1"/>
    <col min="7" max="7" width="15.140625" style="64" customWidth="1"/>
    <col min="8" max="8" width="13.42578125" style="64" customWidth="1"/>
    <col min="9" max="9" width="22.140625" style="64" bestFit="1" customWidth="1"/>
    <col min="10" max="10" width="11.85546875" style="64" customWidth="1"/>
    <col min="11" max="11" width="13.28515625" style="64" customWidth="1"/>
    <col min="12" max="12" width="19.140625" style="64" customWidth="1"/>
    <col min="13" max="13" width="11" style="64" customWidth="1"/>
    <col min="14" max="14" width="11.140625" style="64" customWidth="1"/>
    <col min="15" max="15" width="14.42578125" style="64" customWidth="1"/>
    <col min="16" max="16" width="10.42578125" style="64" customWidth="1"/>
    <col min="17" max="17" width="13.140625" style="64" customWidth="1"/>
    <col min="18" max="18" width="12" style="64" bestFit="1" customWidth="1"/>
    <col min="19" max="19" width="10.42578125" style="64" customWidth="1"/>
    <col min="20" max="16384" width="8.85546875" style="64"/>
  </cols>
  <sheetData>
    <row r="1" spans="1:16" ht="21">
      <c r="A1" s="142" t="s">
        <v>0</v>
      </c>
      <c r="B1" s="142"/>
      <c r="C1" s="142"/>
      <c r="D1" s="142"/>
      <c r="E1" s="142"/>
      <c r="F1" s="142"/>
      <c r="G1" s="142"/>
      <c r="H1" s="63"/>
      <c r="I1" s="63"/>
      <c r="J1" s="1"/>
      <c r="K1" s="1"/>
      <c r="L1" s="1"/>
      <c r="M1" s="1"/>
      <c r="N1" s="1"/>
      <c r="O1" s="1"/>
    </row>
    <row r="2" spans="1:16" ht="17.25">
      <c r="A2" s="143"/>
      <c r="B2" s="143"/>
      <c r="C2" s="1"/>
      <c r="D2" s="1"/>
      <c r="E2" s="1"/>
      <c r="H2" s="1"/>
      <c r="I2" s="1"/>
      <c r="J2" s="1"/>
      <c r="K2" s="1"/>
      <c r="L2" s="1"/>
      <c r="M2" s="1"/>
      <c r="N2" s="1"/>
      <c r="O2" s="1"/>
    </row>
    <row r="3" spans="1:16">
      <c r="B3" s="2"/>
      <c r="C3" s="5"/>
      <c r="D3" s="1"/>
      <c r="E3" s="6"/>
      <c r="H3" s="6"/>
      <c r="I3" s="7"/>
      <c r="J3" s="1"/>
      <c r="K3" s="8"/>
      <c r="L3" s="5"/>
      <c r="M3" s="5"/>
      <c r="N3" s="5"/>
      <c r="O3" s="5"/>
    </row>
    <row r="4" spans="1:16">
      <c r="A4" s="9" t="s">
        <v>1</v>
      </c>
      <c r="B4" s="13"/>
      <c r="C4" s="9"/>
      <c r="D4" s="12"/>
      <c r="E4" s="6"/>
      <c r="G4" s="60" t="s">
        <v>2</v>
      </c>
      <c r="H4" s="6"/>
      <c r="O4" s="5"/>
    </row>
    <row r="5" spans="1:16">
      <c r="A5" s="98" t="s">
        <v>3</v>
      </c>
      <c r="B5" s="99" t="s">
        <v>4</v>
      </c>
      <c r="C5" s="100" t="s">
        <v>5</v>
      </c>
      <c r="D5" s="101" t="s">
        <v>6</v>
      </c>
      <c r="E5" s="10"/>
      <c r="F5" s="64" t="s">
        <v>7</v>
      </c>
      <c r="G5" s="57">
        <v>8000</v>
      </c>
      <c r="H5" s="11"/>
    </row>
    <row r="6" spans="1:16">
      <c r="A6" s="94" t="s">
        <v>8</v>
      </c>
      <c r="B6" s="54">
        <f>'Family Expenses'!B46</f>
        <v>880.82391633069903</v>
      </c>
      <c r="C6" s="38">
        <f>B6*12</f>
        <v>10569.886995968389</v>
      </c>
      <c r="D6" s="96">
        <f>C6/C17</f>
        <v>0.17174602421136112</v>
      </c>
      <c r="E6" s="14"/>
      <c r="F6" s="64" t="s">
        <v>9</v>
      </c>
      <c r="G6" s="61">
        <v>5000</v>
      </c>
      <c r="H6" s="11"/>
      <c r="P6" s="53"/>
    </row>
    <row r="7" spans="1:16">
      <c r="A7" s="95" t="s">
        <v>10</v>
      </c>
      <c r="B7" s="38">
        <f>$C7/12</f>
        <v>179.73523421588595</v>
      </c>
      <c r="C7" s="68">
        <f>2118*(100/98.2)</f>
        <v>2156.8228105906314</v>
      </c>
      <c r="D7" s="96">
        <f>C7/C17</f>
        <v>3.5045383435849779E-2</v>
      </c>
      <c r="E7" s="14"/>
      <c r="G7" s="52"/>
      <c r="H7" s="11"/>
      <c r="P7" s="53"/>
    </row>
    <row r="8" spans="1:16">
      <c r="A8" s="94" t="s">
        <v>11</v>
      </c>
      <c r="B8" s="38">
        <f>'Family Expenses'!B6</f>
        <v>1148</v>
      </c>
      <c r="C8" s="38">
        <f>B8*12</f>
        <v>13776</v>
      </c>
      <c r="D8" s="96">
        <f>C8/C17</f>
        <v>0.22384092000587616</v>
      </c>
      <c r="E8" s="19"/>
      <c r="G8" s="62">
        <f>SUM(G5:G7)</f>
        <v>13000</v>
      </c>
      <c r="H8" s="11"/>
    </row>
    <row r="9" spans="1:16">
      <c r="A9" s="94" t="s">
        <v>12</v>
      </c>
      <c r="B9" s="38">
        <f>'Family Expenses'!B14</f>
        <v>179.70704999999998</v>
      </c>
      <c r="C9" s="38">
        <f>B9*12</f>
        <v>2156.4845999999998</v>
      </c>
      <c r="D9" s="96">
        <f>C9/C17</f>
        <v>3.5039887982179427E-2</v>
      </c>
      <c r="E9" s="20"/>
      <c r="H9" s="11"/>
    </row>
    <row r="10" spans="1:16">
      <c r="A10" s="94" t="s">
        <v>13</v>
      </c>
      <c r="B10" s="38">
        <f>C10/12</f>
        <v>424.88750000000005</v>
      </c>
      <c r="C10" s="38">
        <f>'Family Expenses'!B23</f>
        <v>5098.6500000000005</v>
      </c>
      <c r="D10" s="96">
        <f>C10/C17</f>
        <v>8.2846000783098186E-2</v>
      </c>
      <c r="E10" s="22"/>
      <c r="H10" s="2"/>
    </row>
    <row r="11" spans="1:16">
      <c r="A11" s="94" t="s">
        <v>14</v>
      </c>
      <c r="B11" s="38">
        <f>C11/12</f>
        <v>1073.6458333333333</v>
      </c>
      <c r="C11" s="38">
        <f>'Family Expenses'!B36</f>
        <v>12883.75</v>
      </c>
      <c r="D11" s="96">
        <f>C11/C17</f>
        <v>0.20934309328729001</v>
      </c>
      <c r="E11" s="23"/>
      <c r="H11" s="2"/>
    </row>
    <row r="12" spans="1:16">
      <c r="A12" s="94" t="s">
        <v>15</v>
      </c>
      <c r="B12" s="38">
        <f>164.81</f>
        <v>164.81</v>
      </c>
      <c r="C12" s="38">
        <f>B12*12</f>
        <v>1977.72</v>
      </c>
      <c r="D12" s="96">
        <f>C12/C17</f>
        <v>3.2135210824188548E-2</v>
      </c>
      <c r="E12" s="23"/>
      <c r="H12" s="2"/>
    </row>
    <row r="13" spans="1:16">
      <c r="A13" s="94" t="s">
        <v>16</v>
      </c>
      <c r="B13" s="38">
        <f>C13/12</f>
        <v>201.83333333333334</v>
      </c>
      <c r="C13" s="38">
        <f>(C41*C42)*2+(B41*B42)*2</f>
        <v>2422</v>
      </c>
      <c r="D13" s="96">
        <f>C13/C17</f>
        <v>3.9354145488837984E-2</v>
      </c>
      <c r="E13" s="1"/>
      <c r="H13" s="1"/>
    </row>
    <row r="14" spans="1:16">
      <c r="A14" s="94" t="s">
        <v>17</v>
      </c>
      <c r="B14" s="38">
        <f>C14/12</f>
        <v>73.416666666666671</v>
      </c>
      <c r="C14" s="38">
        <f>'Family Expenses'!B28*2</f>
        <v>881</v>
      </c>
      <c r="D14" s="96">
        <f>C14/C17</f>
        <v>1.4315029800027359E-2</v>
      </c>
      <c r="E14" s="10"/>
      <c r="H14" s="2"/>
    </row>
    <row r="15" spans="1:16">
      <c r="A15" s="94" t="s">
        <v>18</v>
      </c>
      <c r="B15" s="38">
        <f>C15/12</f>
        <v>400.89135890660913</v>
      </c>
      <c r="C15" s="38">
        <f>'Family Expenses'!B17</f>
        <v>4810.6963068793093</v>
      </c>
      <c r="D15" s="97">
        <f>C15/C17</f>
        <v>7.8167152090645717E-2</v>
      </c>
      <c r="E15" s="14"/>
      <c r="H15" s="4"/>
    </row>
    <row r="16" spans="1:16">
      <c r="A16" s="94" t="s">
        <v>19</v>
      </c>
      <c r="B16" s="38">
        <f>C16/12</f>
        <v>400.89135890660913</v>
      </c>
      <c r="C16" s="55">
        <f>C15</f>
        <v>4810.6963068793093</v>
      </c>
      <c r="D16" s="96">
        <f>C16/C17</f>
        <v>7.8167152090645717E-2</v>
      </c>
      <c r="E16" s="14"/>
      <c r="H16" s="4"/>
    </row>
    <row r="17" spans="1:13">
      <c r="A17" s="102" t="s">
        <v>20</v>
      </c>
      <c r="B17" s="103">
        <f>SUM(B6:B16)</f>
        <v>5128.6422516931361</v>
      </c>
      <c r="C17" s="103">
        <f>SUM(C6:C16)</f>
        <v>61543.707020317641</v>
      </c>
      <c r="D17" s="104">
        <f>C17/C17</f>
        <v>1</v>
      </c>
      <c r="E17" s="14"/>
      <c r="H17" s="25"/>
    </row>
    <row r="18" spans="1:13">
      <c r="A18" s="6"/>
      <c r="B18" s="25"/>
      <c r="C18" s="25"/>
      <c r="D18" s="25"/>
      <c r="E18" s="14"/>
      <c r="H18" s="26"/>
    </row>
    <row r="19" spans="1:13" ht="17.25">
      <c r="A19" s="144" t="s">
        <v>21</v>
      </c>
      <c r="B19" s="144"/>
      <c r="C19" s="144"/>
      <c r="D19" s="144"/>
      <c r="E19" s="90"/>
      <c r="F19" s="91"/>
      <c r="H19" s="92"/>
    </row>
    <row r="20" spans="1:13">
      <c r="A20" s="1"/>
      <c r="B20" s="2"/>
      <c r="C20" s="5"/>
      <c r="D20" s="1"/>
      <c r="J20" s="24"/>
      <c r="M20" s="50"/>
    </row>
    <row r="21" spans="1:13">
      <c r="A21" s="1"/>
      <c r="B21" s="2"/>
      <c r="C21" s="5"/>
      <c r="D21" s="1"/>
      <c r="E21" s="7"/>
      <c r="F21" s="65" t="s">
        <v>22</v>
      </c>
      <c r="G21" s="65"/>
      <c r="H21" s="65" t="s">
        <v>23</v>
      </c>
      <c r="J21" s="24"/>
      <c r="M21" s="50"/>
    </row>
    <row r="22" spans="1:13">
      <c r="A22" s="106" t="s">
        <v>24</v>
      </c>
      <c r="B22" s="99" t="s">
        <v>4</v>
      </c>
      <c r="C22" s="101" t="s">
        <v>5</v>
      </c>
      <c r="D22" s="7"/>
      <c r="E22" s="7"/>
      <c r="F22" s="64" t="s">
        <v>25</v>
      </c>
      <c r="G22" s="121">
        <f>IF((D45-C26)&lt;G23,(5400+6400),IF((D45-C26)&lt;G24,(5400+6400-(D45-C26-G23)*0.135),(5400+6400-(G24-G23)*0.135-(D45-C26-G24)*0.057)))</f>
        <v>9103.7799999999988</v>
      </c>
      <c r="H22" s="64" t="s">
        <v>25</v>
      </c>
      <c r="I22" s="122">
        <f>IF((D45-C26)&lt;I23,(1471*2+(2279+2016-(D45-C26-26021)*0.23)),(1471*2-(D45-C26-I23)*0.04))</f>
        <v>2731.16</v>
      </c>
      <c r="J22" s="24"/>
    </row>
    <row r="23" spans="1:13">
      <c r="A23" s="94" t="s">
        <v>26</v>
      </c>
      <c r="B23" s="38">
        <f>C23/6</f>
        <v>227.59666666666666</v>
      </c>
      <c r="C23" s="105">
        <f>I22/2</f>
        <v>1365.58</v>
      </c>
      <c r="D23" s="14"/>
      <c r="E23" s="6"/>
      <c r="F23" s="119" t="s">
        <v>27</v>
      </c>
      <c r="G23" s="126">
        <v>30000</v>
      </c>
      <c r="H23" s="120" t="s">
        <v>28</v>
      </c>
      <c r="I23" s="121">
        <v>44701</v>
      </c>
      <c r="J23" s="24"/>
    </row>
    <row r="24" spans="1:13">
      <c r="A24" s="94"/>
      <c r="B24" s="38"/>
      <c r="C24" s="105"/>
      <c r="D24" s="14"/>
      <c r="E24" s="6"/>
      <c r="F24" s="64" t="s">
        <v>29</v>
      </c>
      <c r="G24" s="121">
        <v>65000</v>
      </c>
      <c r="H24" s="120" t="s">
        <v>30</v>
      </c>
      <c r="I24" s="123">
        <f>(1471*2)/0.04+I23</f>
        <v>118251</v>
      </c>
      <c r="J24" s="24"/>
    </row>
    <row r="25" spans="1:13">
      <c r="A25" s="94" t="s">
        <v>31</v>
      </c>
      <c r="B25" s="38">
        <v>0</v>
      </c>
      <c r="C25" s="105">
        <f>B25*12</f>
        <v>0</v>
      </c>
      <c r="D25" s="14"/>
      <c r="E25" s="1"/>
      <c r="F25" s="51" t="s">
        <v>32</v>
      </c>
      <c r="G25" s="121">
        <f>(6400+5400-(G24-G22)*0.135)/0.057+G24</f>
        <v>139631.75964912277</v>
      </c>
      <c r="H25" s="120" t="s">
        <v>33</v>
      </c>
      <c r="I25" s="124">
        <f>(2279+2016)/0.23+26021</f>
        <v>44694.913043478256</v>
      </c>
      <c r="J25" s="24"/>
    </row>
    <row r="26" spans="1:13">
      <c r="A26" s="94" t="s">
        <v>34</v>
      </c>
      <c r="B26" s="38">
        <f>160+60</f>
        <v>220</v>
      </c>
      <c r="C26" s="105">
        <f>B26*6</f>
        <v>1320</v>
      </c>
      <c r="D26" s="14"/>
      <c r="E26" s="1"/>
      <c r="H26" s="26"/>
      <c r="J26" s="24"/>
    </row>
    <row r="27" spans="1:13">
      <c r="A27" s="94" t="s">
        <v>35</v>
      </c>
      <c r="B27" s="38">
        <f>C27/6</f>
        <v>758.6483333333332</v>
      </c>
      <c r="C27" s="105">
        <f>G22/2</f>
        <v>4551.8899999999994</v>
      </c>
      <c r="D27" s="14"/>
      <c r="E27" s="32"/>
      <c r="H27" s="25"/>
      <c r="J27" s="24"/>
    </row>
    <row r="28" spans="1:13">
      <c r="A28" s="94" t="s">
        <v>36</v>
      </c>
      <c r="B28" s="38">
        <v>0</v>
      </c>
      <c r="C28" s="105">
        <v>0</v>
      </c>
      <c r="D28" s="29"/>
      <c r="E28" s="33"/>
      <c r="F28" s="145" t="s">
        <v>37</v>
      </c>
      <c r="G28" s="146"/>
      <c r="H28" s="1"/>
      <c r="J28" s="24"/>
    </row>
    <row r="29" spans="1:13">
      <c r="A29" s="94" t="s">
        <v>38</v>
      </c>
      <c r="B29" s="38">
        <v>0</v>
      </c>
      <c r="C29" s="105">
        <v>0</v>
      </c>
      <c r="D29" s="29"/>
      <c r="E29" s="32"/>
      <c r="F29" s="18" t="s">
        <v>39</v>
      </c>
      <c r="G29" s="16">
        <f>'Family Expenses'!B26*2</f>
        <v>806</v>
      </c>
      <c r="H29" s="1"/>
      <c r="J29" s="1"/>
    </row>
    <row r="30" spans="1:13">
      <c r="D30" s="1"/>
      <c r="E30" s="6"/>
      <c r="F30" s="18" t="s">
        <v>40</v>
      </c>
      <c r="G30" s="16">
        <f>120*8</f>
        <v>960</v>
      </c>
      <c r="H30" s="31"/>
      <c r="J30" s="1"/>
    </row>
    <row r="31" spans="1:13">
      <c r="A31" s="102" t="s">
        <v>20</v>
      </c>
      <c r="B31" s="103">
        <f>SUM(B23:B29)</f>
        <v>1206.2449999999999</v>
      </c>
      <c r="C31" s="107">
        <f>SUM(C23:C29)</f>
        <v>7237.4699999999993</v>
      </c>
      <c r="D31" s="1"/>
      <c r="E31" s="6"/>
      <c r="F31" s="18" t="s">
        <v>41</v>
      </c>
      <c r="G31" s="16">
        <f>20*8</f>
        <v>160</v>
      </c>
      <c r="H31" s="25"/>
      <c r="J31" s="8"/>
    </row>
    <row r="32" spans="1:13" ht="17.25">
      <c r="A32" s="6"/>
      <c r="B32" s="25"/>
      <c r="C32" s="25"/>
      <c r="D32" s="40"/>
      <c r="E32" s="33"/>
      <c r="F32" s="44" t="s">
        <v>20</v>
      </c>
      <c r="G32" s="43">
        <f>SUM(G29:G31)</f>
        <v>1926</v>
      </c>
      <c r="H32" s="30"/>
      <c r="J32" s="1"/>
    </row>
    <row r="33" spans="1:15" ht="17.25">
      <c r="A33" s="40" t="s">
        <v>42</v>
      </c>
      <c r="B33" s="40"/>
      <c r="C33" s="40"/>
      <c r="D33" s="1"/>
      <c r="E33" s="33"/>
      <c r="F33" s="25"/>
      <c r="G33" s="2"/>
      <c r="H33" s="25"/>
      <c r="J33" s="1"/>
    </row>
    <row r="34" spans="1:15">
      <c r="A34" s="42"/>
      <c r="B34" s="66"/>
      <c r="C34" s="41" t="s">
        <v>5</v>
      </c>
      <c r="D34" s="8"/>
      <c r="E34" s="6"/>
      <c r="F34" s="147" t="s">
        <v>43</v>
      </c>
      <c r="G34" s="148"/>
      <c r="H34" s="25"/>
    </row>
    <row r="35" spans="1:15">
      <c r="A35" s="132" t="s">
        <v>44</v>
      </c>
      <c r="B35" s="39"/>
      <c r="C35" s="21">
        <f>C31+D51</f>
        <v>61556.298966039998</v>
      </c>
      <c r="D35" s="1"/>
      <c r="E35" s="6"/>
      <c r="F35" s="18" t="s">
        <v>39</v>
      </c>
      <c r="G35" s="16">
        <f>'Family Expenses'!B26*2</f>
        <v>806</v>
      </c>
      <c r="H35" s="25"/>
    </row>
    <row r="36" spans="1:15">
      <c r="A36" s="132" t="s">
        <v>45</v>
      </c>
      <c r="B36" s="39"/>
      <c r="C36" s="21">
        <f>C17</f>
        <v>61543.707020317641</v>
      </c>
      <c r="D36" s="1"/>
      <c r="E36" s="2"/>
      <c r="F36" s="18" t="s">
        <v>46</v>
      </c>
      <c r="G36" s="16">
        <f>60*8</f>
        <v>480</v>
      </c>
      <c r="H36" s="25"/>
      <c r="J36" s="56"/>
    </row>
    <row r="37" spans="1:15">
      <c r="A37" s="48" t="s">
        <v>47</v>
      </c>
      <c r="B37" s="49"/>
      <c r="C37" s="45">
        <f>C35-C36</f>
        <v>12.591945722357195</v>
      </c>
      <c r="D37" s="1"/>
      <c r="E37" s="1"/>
      <c r="F37" s="44" t="s">
        <v>20</v>
      </c>
      <c r="G37" s="43">
        <f>SUM(G35:G36)</f>
        <v>1286</v>
      </c>
      <c r="H37" s="25"/>
    </row>
    <row r="38" spans="1:15">
      <c r="A38" s="6"/>
      <c r="B38" s="25"/>
      <c r="C38" s="25"/>
      <c r="D38" s="1"/>
      <c r="E38" s="1"/>
      <c r="H38" s="6"/>
      <c r="J38" s="51"/>
    </row>
    <row r="39" spans="1:15" ht="17.25">
      <c r="A39" s="40" t="s">
        <v>48</v>
      </c>
      <c r="B39" s="40"/>
      <c r="C39" s="40"/>
      <c r="D39" s="1"/>
      <c r="E39" s="1"/>
      <c r="F39" s="1"/>
      <c r="G39" s="1"/>
      <c r="H39" s="6"/>
      <c r="I39" s="1"/>
      <c r="J39" s="1"/>
    </row>
    <row r="40" spans="1:15">
      <c r="A40" s="115" t="s">
        <v>49</v>
      </c>
      <c r="B40" s="99" t="s">
        <v>50</v>
      </c>
      <c r="C40" s="100" t="s">
        <v>51</v>
      </c>
      <c r="D40" s="101" t="s">
        <v>20</v>
      </c>
      <c r="E40" s="1"/>
      <c r="H40" s="1"/>
      <c r="I40" s="1"/>
      <c r="J40" s="24"/>
    </row>
    <row r="41" spans="1:15">
      <c r="A41" s="108" t="s">
        <v>52</v>
      </c>
      <c r="B41" s="34">
        <v>35</v>
      </c>
      <c r="C41" s="15">
        <v>35</v>
      </c>
      <c r="D41" s="111">
        <f>B41+C41</f>
        <v>70</v>
      </c>
      <c r="E41" s="5"/>
      <c r="H41" s="1"/>
      <c r="I41" s="1"/>
      <c r="J41" s="1"/>
    </row>
    <row r="42" spans="1:15">
      <c r="A42" s="93" t="s">
        <v>53</v>
      </c>
      <c r="B42" s="45">
        <v>17.3</v>
      </c>
      <c r="C42" s="47">
        <f>B42</f>
        <v>17.3</v>
      </c>
      <c r="D42" s="111"/>
      <c r="H42" s="1"/>
      <c r="I42" s="1"/>
      <c r="J42" s="1"/>
    </row>
    <row r="43" spans="1:15" ht="17.25">
      <c r="A43" s="94" t="s">
        <v>54</v>
      </c>
      <c r="B43" s="38">
        <f>(B42*B41)*52</f>
        <v>31486</v>
      </c>
      <c r="C43" s="38">
        <f>B43</f>
        <v>31486</v>
      </c>
      <c r="D43" s="105">
        <f>B43+C43</f>
        <v>62972</v>
      </c>
      <c r="E43" s="133"/>
      <c r="H43" s="1"/>
      <c r="I43" s="1"/>
      <c r="J43" s="1"/>
    </row>
    <row r="44" spans="1:15">
      <c r="A44" s="109" t="s">
        <v>55</v>
      </c>
      <c r="B44" s="36">
        <f>-(G8-C26)</f>
        <v>-11680</v>
      </c>
      <c r="C44" s="35"/>
      <c r="D44" s="112"/>
      <c r="E44" s="1"/>
      <c r="H44" s="1"/>
      <c r="I44" s="1"/>
      <c r="J44" s="2"/>
      <c r="K44" s="24"/>
      <c r="L44" s="1"/>
      <c r="M44" s="1"/>
      <c r="N44" s="1"/>
      <c r="O44" s="1"/>
    </row>
    <row r="45" spans="1:15">
      <c r="A45" s="110" t="s">
        <v>56</v>
      </c>
      <c r="B45" s="46">
        <f>B43+B44</f>
        <v>19806</v>
      </c>
      <c r="C45" s="46">
        <f>C43+C44</f>
        <v>31486</v>
      </c>
      <c r="D45" s="113">
        <f>B45+C45</f>
        <v>51292</v>
      </c>
      <c r="E45" s="1"/>
      <c r="H45" s="5"/>
      <c r="I45" s="1"/>
      <c r="J45" s="1"/>
      <c r="K45" s="1"/>
      <c r="L45" s="1"/>
      <c r="M45" s="1"/>
      <c r="N45" s="1"/>
      <c r="O45" s="1"/>
    </row>
    <row r="46" spans="1:15">
      <c r="A46" s="94" t="s">
        <v>57</v>
      </c>
      <c r="B46" s="38">
        <f>B43*0.0188</f>
        <v>591.93680000000006</v>
      </c>
      <c r="C46" s="38">
        <f>C43*0.0188</f>
        <v>591.93680000000006</v>
      </c>
      <c r="D46" s="105">
        <f t="shared" ref="D46:D52" si="0">B46+C46</f>
        <v>1183.8736000000001</v>
      </c>
      <c r="E46" s="1"/>
      <c r="H46" s="1"/>
      <c r="I46" s="1"/>
      <c r="J46" s="1"/>
      <c r="K46" s="1"/>
      <c r="L46" s="1"/>
      <c r="M46" s="1"/>
      <c r="N46" s="1"/>
      <c r="O46" s="1"/>
    </row>
    <row r="47" spans="1:15">
      <c r="A47" s="94" t="s">
        <v>58</v>
      </c>
      <c r="B47" s="38">
        <f>(B43-3500)*0.0495</f>
        <v>1385.307</v>
      </c>
      <c r="C47" s="38">
        <f>(C43-3500)*0.0495</f>
        <v>1385.307</v>
      </c>
      <c r="D47" s="105">
        <f t="shared" si="0"/>
        <v>2770.614</v>
      </c>
      <c r="E47" s="1"/>
      <c r="G47" s="1"/>
      <c r="H47" s="1"/>
      <c r="I47" s="1"/>
      <c r="J47" s="1"/>
      <c r="K47" s="1"/>
      <c r="L47" s="1"/>
      <c r="M47" s="1"/>
      <c r="N47" s="1"/>
      <c r="O47" s="1"/>
    </row>
    <row r="48" spans="1:15">
      <c r="A48" s="94" t="s">
        <v>59</v>
      </c>
      <c r="B48" s="38">
        <f>MAX(0,((B45*0.15)-((11327+(C12-B45*0.03)+B46+B47+1146+2*500)*0.15)))</f>
        <v>445.83242999999993</v>
      </c>
      <c r="C48" s="38">
        <f>MAX(0,(C45*0.15-(11327+C46+C47+1146+2255+'Family Expenses'!B21+G32)*0.15))</f>
        <v>1850.0934299999999</v>
      </c>
      <c r="D48" s="105">
        <f t="shared" si="0"/>
        <v>2295.9258599999998</v>
      </c>
      <c r="E48" s="1"/>
      <c r="H48" s="1"/>
      <c r="I48" s="1"/>
      <c r="J48" s="1"/>
      <c r="K48" s="1"/>
      <c r="L48" s="1"/>
      <c r="M48" s="1"/>
      <c r="N48" s="1"/>
      <c r="O48" s="1"/>
    </row>
    <row r="49" spans="1:15">
      <c r="A49" s="94" t="s">
        <v>60</v>
      </c>
      <c r="B49" s="38">
        <f>MAX(0,((B45*0.0879)-((8481+(C12-B45*0.03)+1200+B46+B47+500)*0.0879)))</f>
        <v>550.62460397999985</v>
      </c>
      <c r="C49" s="38">
        <f>MAX(0,((((C45-29590)*0.1495)+2601)-((8481+C46+C47+G37)*0.0879)))</f>
        <v>1852.1329699800001</v>
      </c>
      <c r="D49" s="105">
        <f t="shared" si="0"/>
        <v>2402.7575739599997</v>
      </c>
      <c r="E49" s="1"/>
      <c r="H49" s="1"/>
      <c r="I49" s="1"/>
      <c r="J49" s="1"/>
      <c r="K49" s="1"/>
      <c r="L49" s="5"/>
      <c r="M49" s="1"/>
      <c r="N49" s="1"/>
      <c r="O49" s="1"/>
    </row>
    <row r="50" spans="1:15">
      <c r="A50" s="94" t="s">
        <v>61</v>
      </c>
      <c r="B50" s="38">
        <f>IF(D45-C26&lt;48546, IF((0.25*(C12-B45*0.03) - 0.05*(D45-C26-25506))&gt;0,-1*(0.25*(C12-B45*0.03) - 0.05*(D45-C26-25506)),0),0)</f>
        <v>0</v>
      </c>
      <c r="C50" s="38">
        <v>0</v>
      </c>
      <c r="D50" s="105">
        <f t="shared" si="0"/>
        <v>0</v>
      </c>
      <c r="E50" s="5"/>
      <c r="H50" s="1"/>
      <c r="I50" s="1"/>
      <c r="J50" s="1"/>
      <c r="K50" s="1"/>
      <c r="L50" s="1"/>
      <c r="M50" s="5"/>
      <c r="N50" s="5"/>
      <c r="O50" s="1"/>
    </row>
    <row r="51" spans="1:15">
      <c r="A51" s="108" t="s">
        <v>62</v>
      </c>
      <c r="B51" s="21">
        <f>B43-SUM(B46:B49)+B50</f>
        <v>28512.299166019999</v>
      </c>
      <c r="C51" s="21">
        <f>C43-SUM(C46:C49)+C50</f>
        <v>25806.529800019998</v>
      </c>
      <c r="D51" s="114">
        <f t="shared" si="0"/>
        <v>54318.828966039997</v>
      </c>
      <c r="E51" s="1"/>
      <c r="H51" s="1"/>
      <c r="I51" s="1"/>
      <c r="J51" s="1"/>
      <c r="K51" s="1"/>
      <c r="L51" s="1"/>
      <c r="M51" s="1"/>
      <c r="N51" s="1"/>
      <c r="O51" s="1"/>
    </row>
    <row r="52" spans="1:15">
      <c r="A52" s="116" t="s">
        <v>63</v>
      </c>
      <c r="B52" s="117">
        <f>B51/12</f>
        <v>2376.0249305016664</v>
      </c>
      <c r="C52" s="117">
        <f>C51/12</f>
        <v>2150.5441500016664</v>
      </c>
      <c r="D52" s="118">
        <f t="shared" si="0"/>
        <v>4526.5690805033328</v>
      </c>
      <c r="H52" s="1"/>
      <c r="I52" s="1"/>
      <c r="J52" s="1"/>
      <c r="K52" s="1"/>
      <c r="L52" s="1"/>
      <c r="M52" s="1"/>
      <c r="N52" s="1"/>
      <c r="O52" s="1"/>
    </row>
    <row r="53" spans="1:15">
      <c r="H53" s="1"/>
      <c r="I53" s="5"/>
      <c r="J53" s="5"/>
      <c r="K53" s="1"/>
      <c r="L53" s="1"/>
      <c r="M53" s="1"/>
      <c r="N53" s="1"/>
      <c r="O53" s="1"/>
    </row>
    <row r="54" spans="1:15" ht="17.25">
      <c r="A54" s="133" t="s">
        <v>64</v>
      </c>
      <c r="B54" s="133"/>
      <c r="C54" s="133"/>
      <c r="D54" s="133"/>
      <c r="H54" s="1"/>
      <c r="I54" s="1"/>
      <c r="J54" s="1"/>
      <c r="K54" s="1"/>
      <c r="L54" s="1"/>
      <c r="M54" s="1"/>
      <c r="N54" s="1"/>
      <c r="O54" s="1"/>
    </row>
    <row r="55" spans="1:15">
      <c r="A55" s="139" t="s">
        <v>65</v>
      </c>
      <c r="B55" s="140"/>
      <c r="C55" s="141"/>
      <c r="D55" s="21">
        <f xml:space="preserve"> D43</f>
        <v>62972</v>
      </c>
      <c r="I55" s="1"/>
      <c r="J55" s="1"/>
      <c r="K55" s="1"/>
      <c r="L55" s="1"/>
      <c r="M55" s="1"/>
      <c r="N55" s="1"/>
      <c r="O55" s="5"/>
    </row>
    <row r="56" spans="1:15">
      <c r="A56" s="139" t="s">
        <v>66</v>
      </c>
      <c r="B56" s="140"/>
      <c r="C56" s="141"/>
      <c r="D56" s="21">
        <f>SUM(B46:B49)+SUM(C46:C49)</f>
        <v>8653.1710339599995</v>
      </c>
      <c r="I56" s="1"/>
      <c r="J56" s="1"/>
      <c r="K56" s="1"/>
      <c r="L56" s="1"/>
      <c r="M56" s="1"/>
      <c r="N56" s="1"/>
      <c r="O56" s="1"/>
    </row>
    <row r="57" spans="1:15">
      <c r="A57" s="139" t="s">
        <v>67</v>
      </c>
      <c r="B57" s="140"/>
      <c r="C57" s="141"/>
      <c r="D57" s="21">
        <f>D55-D56</f>
        <v>54318.828966040004</v>
      </c>
      <c r="I57" s="1"/>
      <c r="J57" s="1"/>
      <c r="K57" s="1"/>
      <c r="L57" s="1"/>
      <c r="M57" s="1"/>
      <c r="N57" s="1"/>
      <c r="O57" s="1"/>
    </row>
    <row r="58" spans="1:15">
      <c r="A58" s="139" t="s">
        <v>68</v>
      </c>
      <c r="B58" s="140"/>
      <c r="C58" s="141"/>
      <c r="D58" s="21">
        <f>C31</f>
        <v>7237.4699999999993</v>
      </c>
      <c r="I58" s="1"/>
      <c r="J58" s="1"/>
      <c r="K58" s="1"/>
      <c r="L58" s="1"/>
      <c r="M58" s="1"/>
      <c r="N58" s="1"/>
      <c r="O58" s="1"/>
    </row>
    <row r="59" spans="1:15">
      <c r="A59" s="139" t="s">
        <v>69</v>
      </c>
      <c r="B59" s="140"/>
      <c r="C59" s="141"/>
      <c r="D59" s="21">
        <f>D57+D58</f>
        <v>61556.298966040005</v>
      </c>
      <c r="I59" s="1"/>
      <c r="J59" s="1"/>
      <c r="K59" s="5"/>
      <c r="O59" s="1"/>
    </row>
    <row r="60" spans="1:15">
      <c r="A60" s="139" t="s">
        <v>70</v>
      </c>
      <c r="B60" s="140"/>
      <c r="C60" s="141"/>
      <c r="D60" s="21">
        <f>C17</f>
        <v>61543.707020317641</v>
      </c>
      <c r="I60" s="1"/>
      <c r="J60" s="1"/>
      <c r="K60" s="1"/>
      <c r="O60" s="1"/>
    </row>
    <row r="61" spans="1:15">
      <c r="A61" s="139" t="s">
        <v>71</v>
      </c>
      <c r="B61" s="140"/>
      <c r="C61" s="141"/>
      <c r="D61" s="21">
        <f>D59-D60</f>
        <v>12.591945722364471</v>
      </c>
      <c r="I61" s="1"/>
      <c r="J61" s="1"/>
      <c r="K61" s="1"/>
      <c r="O61" s="1"/>
    </row>
    <row r="62" spans="1:15">
      <c r="I62" s="1"/>
      <c r="J62" s="1"/>
      <c r="K62" s="1"/>
      <c r="O62" s="1"/>
    </row>
    <row r="63" spans="1:15">
      <c r="I63" s="1"/>
      <c r="J63" s="1"/>
      <c r="K63" s="1"/>
      <c r="O63" s="1"/>
    </row>
    <row r="64" spans="1:15">
      <c r="K64" s="1"/>
    </row>
    <row r="65" spans="11:11">
      <c r="K65" s="1"/>
    </row>
    <row r="66" spans="11:11">
      <c r="K66" s="1"/>
    </row>
    <row r="67" spans="11:11">
      <c r="K67" s="1"/>
    </row>
    <row r="68" spans="11:11">
      <c r="K68" s="1"/>
    </row>
  </sheetData>
  <mergeCells count="12">
    <mergeCell ref="A61:C61"/>
    <mergeCell ref="A1:G1"/>
    <mergeCell ref="A2:B2"/>
    <mergeCell ref="A19:D19"/>
    <mergeCell ref="F28:G28"/>
    <mergeCell ref="F34:G34"/>
    <mergeCell ref="A55:C55"/>
    <mergeCell ref="A56:C56"/>
    <mergeCell ref="A57:C57"/>
    <mergeCell ref="A58:C58"/>
    <mergeCell ref="A59:C59"/>
    <mergeCell ref="A60:C60"/>
  </mergeCells>
  <pageMargins left="0.7" right="0.7" top="0.75" bottom="0.75" header="0.3" footer="0.3"/>
  <pageSetup orientation="portrait"/>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L65"/>
  <sheetViews>
    <sheetView workbookViewId="0">
      <selection activeCell="L9" sqref="L9"/>
    </sheetView>
  </sheetViews>
  <sheetFormatPr defaultColWidth="8.85546875" defaultRowHeight="15"/>
  <cols>
    <col min="1" max="1" width="26.85546875" customWidth="1"/>
    <col min="2" max="2" width="27.42578125" customWidth="1"/>
    <col min="9" max="9" width="19.28515625" customWidth="1"/>
    <col min="10" max="10" width="12.7109375" customWidth="1"/>
    <col min="12" max="12" width="12.140625" customWidth="1"/>
  </cols>
  <sheetData>
    <row r="1" spans="1:12">
      <c r="A1" s="64" t="s">
        <v>72</v>
      </c>
      <c r="B1" s="64"/>
      <c r="C1" s="64"/>
      <c r="D1" s="64"/>
      <c r="E1" s="64"/>
      <c r="F1" s="64"/>
      <c r="G1" s="64"/>
      <c r="H1" s="64"/>
      <c r="I1" s="64"/>
      <c r="J1" s="64"/>
      <c r="K1" s="64"/>
      <c r="L1" s="64"/>
    </row>
    <row r="2" spans="1:12">
      <c r="A2" s="64" t="s">
        <v>73</v>
      </c>
      <c r="B2" s="64"/>
      <c r="C2" s="64"/>
      <c r="D2" s="64"/>
      <c r="E2" s="64"/>
      <c r="F2" s="64"/>
      <c r="G2" s="64"/>
      <c r="H2" s="64"/>
      <c r="I2" s="64"/>
      <c r="J2" s="64"/>
      <c r="K2" s="64"/>
      <c r="L2" s="64"/>
    </row>
    <row r="3" spans="1:12">
      <c r="A3" s="64" t="s">
        <v>74</v>
      </c>
      <c r="B3" s="64"/>
      <c r="C3" s="64"/>
      <c r="D3" s="64"/>
      <c r="E3" s="64"/>
      <c r="F3" s="64"/>
      <c r="G3" s="64"/>
      <c r="H3" s="64"/>
      <c r="I3" s="64"/>
      <c r="J3" s="64"/>
      <c r="K3" s="64"/>
      <c r="L3" s="64"/>
    </row>
    <row r="4" spans="1:12">
      <c r="A4" s="64" t="s">
        <v>75</v>
      </c>
      <c r="B4" s="64" t="s">
        <v>76</v>
      </c>
      <c r="C4" s="64">
        <v>2011</v>
      </c>
      <c r="D4" s="64">
        <v>2012</v>
      </c>
      <c r="E4" s="64">
        <v>2013</v>
      </c>
      <c r="F4" s="64">
        <v>2014</v>
      </c>
      <c r="G4" s="64">
        <v>2015</v>
      </c>
      <c r="H4" s="64"/>
      <c r="I4" s="64" t="s">
        <v>77</v>
      </c>
      <c r="J4" s="64"/>
      <c r="K4" s="64"/>
      <c r="L4" s="64"/>
    </row>
    <row r="5" spans="1:12">
      <c r="A5" s="64" t="s">
        <v>78</v>
      </c>
      <c r="B5" s="64" t="s">
        <v>79</v>
      </c>
      <c r="C5" s="64">
        <v>122.7</v>
      </c>
      <c r="D5" s="64">
        <v>125.1</v>
      </c>
      <c r="E5" s="64">
        <v>126.6</v>
      </c>
      <c r="F5" s="64">
        <v>128.80000000000001</v>
      </c>
      <c r="G5" s="64">
        <v>129.30000000000001</v>
      </c>
      <c r="H5" s="64"/>
      <c r="I5" s="64" t="s">
        <v>80</v>
      </c>
      <c r="J5" s="64" t="s">
        <v>81</v>
      </c>
      <c r="K5" s="64">
        <v>2014</v>
      </c>
      <c r="L5" s="64">
        <v>2015</v>
      </c>
    </row>
    <row r="6" spans="1:12">
      <c r="A6" s="64" t="s">
        <v>78</v>
      </c>
      <c r="B6" s="64" t="s">
        <v>82</v>
      </c>
      <c r="C6" s="64">
        <v>134.1</v>
      </c>
      <c r="D6" s="64">
        <v>137.80000000000001</v>
      </c>
      <c r="E6" s="64">
        <v>139.6</v>
      </c>
      <c r="F6" s="64">
        <v>141.5</v>
      </c>
      <c r="G6" s="64">
        <v>147.80000000000001</v>
      </c>
      <c r="H6" s="64"/>
      <c r="I6" s="64"/>
      <c r="J6" s="64"/>
      <c r="K6" s="64"/>
      <c r="L6" s="64"/>
    </row>
    <row r="7" spans="1:12">
      <c r="A7" s="64" t="s">
        <v>78</v>
      </c>
      <c r="B7" s="64" t="s">
        <v>83</v>
      </c>
      <c r="C7" s="64">
        <v>131.19999999999999</v>
      </c>
      <c r="D7" s="64">
        <v>135.19999999999999</v>
      </c>
      <c r="E7" s="64">
        <v>138.1</v>
      </c>
      <c r="F7" s="64">
        <v>141.1</v>
      </c>
      <c r="G7" s="64">
        <v>139.69999999999999</v>
      </c>
      <c r="H7" s="64"/>
      <c r="I7" s="64"/>
      <c r="J7" s="64"/>
      <c r="K7" s="64"/>
      <c r="L7" s="64"/>
    </row>
    <row r="8" spans="1:12">
      <c r="A8" s="64" t="s">
        <v>78</v>
      </c>
      <c r="B8" s="64" t="s">
        <v>84</v>
      </c>
      <c r="C8" s="64">
        <v>111.9</v>
      </c>
      <c r="D8" s="64">
        <v>113.1</v>
      </c>
      <c r="E8" s="64">
        <v>115</v>
      </c>
      <c r="F8" s="64">
        <v>117.2</v>
      </c>
      <c r="G8" s="64">
        <v>120.5</v>
      </c>
      <c r="H8" s="64"/>
      <c r="I8" s="64"/>
      <c r="J8" s="64"/>
      <c r="K8" s="64"/>
      <c r="L8" s="58"/>
    </row>
    <row r="9" spans="1:12">
      <c r="A9" s="64" t="s">
        <v>78</v>
      </c>
      <c r="B9" s="64" t="s">
        <v>85</v>
      </c>
      <c r="C9" s="64">
        <v>92.9</v>
      </c>
      <c r="D9" s="64">
        <v>93.7</v>
      </c>
      <c r="E9" s="64">
        <v>95.9</v>
      </c>
      <c r="F9" s="64">
        <v>98.2</v>
      </c>
      <c r="G9" s="64">
        <v>100</v>
      </c>
      <c r="H9" s="64"/>
      <c r="I9" s="64" t="s">
        <v>86</v>
      </c>
      <c r="J9" s="64" t="s">
        <v>13</v>
      </c>
      <c r="K9" s="64">
        <v>5029</v>
      </c>
      <c r="L9" s="58">
        <f>K9*(G20/F20)</f>
        <v>4577.8496042216366</v>
      </c>
    </row>
    <row r="10" spans="1:12">
      <c r="A10" s="64" t="s">
        <v>78</v>
      </c>
      <c r="B10" s="64" t="s">
        <v>13</v>
      </c>
      <c r="C10" s="64">
        <v>121.7</v>
      </c>
      <c r="D10" s="64">
        <v>123.9</v>
      </c>
      <c r="E10" s="64">
        <v>124.5</v>
      </c>
      <c r="F10" s="64">
        <v>125.9</v>
      </c>
      <c r="G10" s="64">
        <v>120.9</v>
      </c>
      <c r="H10" s="64"/>
      <c r="I10" s="64"/>
      <c r="J10" s="64"/>
      <c r="K10" s="64"/>
      <c r="L10" s="64"/>
    </row>
    <row r="11" spans="1:12">
      <c r="A11" s="64" t="s">
        <v>78</v>
      </c>
      <c r="B11" s="64" t="s">
        <v>87</v>
      </c>
      <c r="C11" s="64">
        <v>169.4</v>
      </c>
      <c r="D11" s="64">
        <v>176.8</v>
      </c>
      <c r="E11" s="64">
        <v>176.6</v>
      </c>
      <c r="F11" s="64">
        <v>176.9</v>
      </c>
      <c r="G11" s="64">
        <v>143.1</v>
      </c>
      <c r="H11" s="64"/>
      <c r="I11" s="64"/>
      <c r="J11" s="64"/>
      <c r="K11" s="64"/>
      <c r="L11" s="59"/>
    </row>
    <row r="12" spans="1:12">
      <c r="A12" s="64" t="s">
        <v>78</v>
      </c>
      <c r="B12" s="64" t="s">
        <v>88</v>
      </c>
      <c r="C12" s="64">
        <v>115.3</v>
      </c>
      <c r="D12" s="64">
        <v>116.7</v>
      </c>
      <c r="E12" s="64">
        <v>115.5</v>
      </c>
      <c r="F12" s="64">
        <v>116.4</v>
      </c>
      <c r="G12" s="64">
        <v>117.6</v>
      </c>
      <c r="H12" s="64"/>
      <c r="I12" s="64"/>
      <c r="J12" s="64"/>
      <c r="K12" s="64"/>
      <c r="L12" s="64"/>
    </row>
    <row r="13" spans="1:12">
      <c r="A13" s="64" t="s">
        <v>78</v>
      </c>
      <c r="B13" s="64" t="s">
        <v>89</v>
      </c>
      <c r="C13" s="64">
        <v>108.1</v>
      </c>
      <c r="D13" s="64">
        <v>108.3</v>
      </c>
      <c r="E13" s="64">
        <v>107.7</v>
      </c>
      <c r="F13" s="64">
        <v>109.6</v>
      </c>
      <c r="G13" s="64">
        <v>111</v>
      </c>
      <c r="H13" s="64"/>
      <c r="I13" s="64"/>
      <c r="J13" s="64"/>
      <c r="K13" s="64"/>
      <c r="L13" s="64"/>
    </row>
    <row r="14" spans="1:12">
      <c r="A14" s="64" t="s">
        <v>78</v>
      </c>
      <c r="B14" s="64" t="s">
        <v>90</v>
      </c>
      <c r="C14" s="64">
        <v>160.4</v>
      </c>
      <c r="D14" s="64">
        <v>163.1</v>
      </c>
      <c r="E14" s="64">
        <v>167.9</v>
      </c>
      <c r="F14" s="64">
        <v>176.2</v>
      </c>
      <c r="G14" s="64">
        <v>181.2</v>
      </c>
      <c r="H14" s="64"/>
      <c r="I14" s="64"/>
      <c r="J14" s="64"/>
      <c r="K14" s="64"/>
      <c r="L14" s="64"/>
    </row>
    <row r="15" spans="1:12">
      <c r="A15" s="64" t="s">
        <v>78</v>
      </c>
      <c r="B15" s="64" t="s">
        <v>91</v>
      </c>
      <c r="C15" s="64">
        <v>114.1</v>
      </c>
      <c r="D15" s="64">
        <v>115.3</v>
      </c>
      <c r="E15" s="64">
        <v>116.7</v>
      </c>
      <c r="F15" s="64">
        <v>118.6</v>
      </c>
      <c r="G15" s="64">
        <v>120.6</v>
      </c>
      <c r="H15" s="64"/>
      <c r="I15" s="64"/>
      <c r="J15" s="64"/>
      <c r="K15" s="64"/>
      <c r="L15" s="64"/>
    </row>
    <row r="16" spans="1:12">
      <c r="A16" s="64" t="s">
        <v>78</v>
      </c>
      <c r="B16" s="64" t="s">
        <v>92</v>
      </c>
      <c r="C16" s="64">
        <v>118</v>
      </c>
      <c r="D16" s="64">
        <v>119.5</v>
      </c>
      <c r="E16" s="64">
        <v>121</v>
      </c>
      <c r="F16" s="64">
        <v>122.9</v>
      </c>
      <c r="G16" s="64">
        <v>125.6</v>
      </c>
      <c r="H16" s="64"/>
      <c r="I16" s="64"/>
      <c r="J16" s="64"/>
      <c r="K16" s="64"/>
      <c r="L16" s="64"/>
    </row>
    <row r="17" spans="1:11">
      <c r="A17" s="64" t="s">
        <v>78</v>
      </c>
      <c r="B17" s="64" t="s">
        <v>93</v>
      </c>
      <c r="C17" s="64">
        <v>164.9</v>
      </c>
      <c r="D17" s="64">
        <v>174.7</v>
      </c>
      <c r="E17" s="64">
        <v>176.5</v>
      </c>
      <c r="F17" s="64">
        <v>182</v>
      </c>
      <c r="G17" s="64">
        <v>157.4</v>
      </c>
      <c r="H17" s="64"/>
      <c r="I17" s="64"/>
      <c r="J17" s="64"/>
      <c r="K17" s="64"/>
    </row>
    <row r="18" spans="1:11">
      <c r="A18" s="64" t="s">
        <v>78</v>
      </c>
      <c r="B18" s="64" t="s">
        <v>94</v>
      </c>
      <c r="C18" s="64">
        <v>122.2</v>
      </c>
      <c r="D18" s="64">
        <v>124.7</v>
      </c>
      <c r="E18" s="64">
        <v>125.4</v>
      </c>
      <c r="F18" s="64">
        <v>127.3</v>
      </c>
      <c r="G18" s="64">
        <v>126.2</v>
      </c>
      <c r="H18" s="64"/>
      <c r="I18" s="64"/>
      <c r="J18" s="64"/>
      <c r="K18" s="64"/>
    </row>
    <row r="19" spans="1:11">
      <c r="A19" s="64" t="s">
        <v>78</v>
      </c>
      <c r="B19" s="64" t="s">
        <v>95</v>
      </c>
      <c r="C19" s="64">
        <v>123.5</v>
      </c>
      <c r="D19" s="64">
        <v>125.7</v>
      </c>
      <c r="E19" s="64">
        <v>128</v>
      </c>
      <c r="F19" s="64">
        <v>130.6</v>
      </c>
      <c r="G19" s="64">
        <v>133.1</v>
      </c>
      <c r="H19" s="64"/>
      <c r="I19" s="64"/>
      <c r="J19" s="64"/>
      <c r="K19" s="64"/>
    </row>
    <row r="20" spans="1:11" s="64" customFormat="1">
      <c r="A20" s="64" t="s">
        <v>78</v>
      </c>
      <c r="B20" s="64" t="s">
        <v>96</v>
      </c>
      <c r="F20" s="64">
        <v>151.6</v>
      </c>
      <c r="G20" s="64">
        <v>138</v>
      </c>
      <c r="J20" s="69"/>
      <c r="K20" s="69"/>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t="s">
        <v>97</v>
      </c>
      <c r="B23" s="64"/>
      <c r="C23" s="64"/>
      <c r="D23" s="64"/>
      <c r="E23" s="64"/>
      <c r="F23" s="64"/>
      <c r="G23" s="64"/>
      <c r="H23" s="64"/>
      <c r="I23" s="64"/>
      <c r="J23" s="64"/>
      <c r="K23" s="64"/>
    </row>
    <row r="24" spans="1:11">
      <c r="A24" s="64">
        <v>1</v>
      </c>
      <c r="B24" s="64" t="s">
        <v>98</v>
      </c>
      <c r="C24" s="64"/>
      <c r="D24" s="64"/>
      <c r="E24" s="64"/>
      <c r="F24" s="64"/>
      <c r="G24" s="64"/>
      <c r="H24" s="64"/>
      <c r="I24" s="64"/>
      <c r="J24" s="64"/>
      <c r="K24" s="64"/>
    </row>
    <row r="25" spans="1:11">
      <c r="A25" s="64">
        <v>2</v>
      </c>
      <c r="B25" s="64" t="s">
        <v>99</v>
      </c>
      <c r="C25" s="64"/>
      <c r="D25" s="64"/>
      <c r="E25" s="64"/>
      <c r="F25" s="64"/>
      <c r="G25" s="64"/>
      <c r="H25" s="64"/>
      <c r="I25" s="64"/>
      <c r="J25" s="64"/>
      <c r="K25" s="64"/>
    </row>
    <row r="26" spans="1:11">
      <c r="A26" s="64">
        <v>3</v>
      </c>
      <c r="B26" s="64" t="s">
        <v>100</v>
      </c>
      <c r="C26" s="64"/>
      <c r="D26" s="64"/>
      <c r="E26" s="64"/>
      <c r="F26" s="64"/>
      <c r="G26" s="64"/>
      <c r="H26" s="64"/>
      <c r="I26" s="64"/>
      <c r="J26" s="64"/>
      <c r="K26" s="64"/>
    </row>
    <row r="27" spans="1:11">
      <c r="A27" s="64">
        <v>4</v>
      </c>
      <c r="B27" s="64" t="s">
        <v>101</v>
      </c>
      <c r="C27" s="64"/>
      <c r="D27" s="64"/>
      <c r="E27" s="64"/>
      <c r="F27" s="64"/>
      <c r="G27" s="64"/>
      <c r="H27" s="64"/>
      <c r="I27" s="64"/>
      <c r="J27" s="64"/>
      <c r="K27" s="64"/>
    </row>
    <row r="28" spans="1:11">
      <c r="A28" s="64">
        <v>5</v>
      </c>
      <c r="B28" s="64" t="s">
        <v>102</v>
      </c>
      <c r="C28" s="64"/>
      <c r="D28" s="64"/>
      <c r="E28" s="64"/>
      <c r="F28" s="64"/>
      <c r="G28" s="64"/>
      <c r="H28" s="64"/>
      <c r="I28" s="64"/>
      <c r="J28" s="64"/>
      <c r="K28" s="64"/>
    </row>
    <row r="29" spans="1:11">
      <c r="A29" s="64">
        <v>6</v>
      </c>
      <c r="B29" s="64" t="s">
        <v>103</v>
      </c>
      <c r="C29" s="64"/>
      <c r="D29" s="64"/>
      <c r="E29" s="64"/>
      <c r="F29" s="64"/>
      <c r="G29" s="64"/>
      <c r="H29" s="64"/>
      <c r="I29" s="64"/>
      <c r="J29" s="64"/>
      <c r="K29" s="64"/>
    </row>
    <row r="30" spans="1:11">
      <c r="A30" s="64">
        <v>7</v>
      </c>
      <c r="B30" s="64" t="s">
        <v>104</v>
      </c>
      <c r="C30" s="64"/>
      <c r="D30" s="64"/>
      <c r="E30" s="64"/>
      <c r="F30" s="64"/>
      <c r="G30" s="64"/>
      <c r="H30" s="64"/>
      <c r="I30" s="64"/>
      <c r="J30" s="64"/>
      <c r="K30" s="64"/>
    </row>
    <row r="31" spans="1:11">
      <c r="A31" s="64">
        <v>9</v>
      </c>
      <c r="B31" s="64" t="s">
        <v>105</v>
      </c>
      <c r="C31" s="64"/>
      <c r="D31" s="64"/>
      <c r="E31" s="64"/>
      <c r="F31" s="64"/>
      <c r="G31" s="64"/>
      <c r="H31" s="64"/>
      <c r="I31" s="64"/>
      <c r="J31" s="64"/>
      <c r="K31" s="64"/>
    </row>
    <row r="32" spans="1:11">
      <c r="A32" s="64">
        <v>10</v>
      </c>
      <c r="B32" s="64" t="s">
        <v>106</v>
      </c>
      <c r="C32" s="64"/>
      <c r="D32" s="64"/>
      <c r="E32" s="64"/>
      <c r="F32" s="64"/>
      <c r="G32" s="64"/>
      <c r="H32" s="64"/>
      <c r="I32" s="64"/>
      <c r="J32" s="64"/>
      <c r="K32" s="64"/>
    </row>
    <row r="33" spans="1:7">
      <c r="A33" s="64">
        <v>11</v>
      </c>
      <c r="B33" s="64" t="s">
        <v>107</v>
      </c>
      <c r="C33" s="64"/>
      <c r="D33" s="64"/>
      <c r="E33" s="64"/>
      <c r="F33" s="64"/>
      <c r="G33" s="64"/>
    </row>
    <row r="34" spans="1:7">
      <c r="A34" s="64">
        <v>15</v>
      </c>
      <c r="B34" s="64" t="s">
        <v>108</v>
      </c>
      <c r="C34" s="64"/>
      <c r="D34" s="64"/>
      <c r="E34" s="64"/>
      <c r="F34" s="64"/>
      <c r="G34" s="64"/>
    </row>
    <row r="35" spans="1:7">
      <c r="A35" s="64">
        <v>16</v>
      </c>
      <c r="B35" s="64" t="s">
        <v>109</v>
      </c>
      <c r="C35" s="64"/>
      <c r="D35" s="64"/>
      <c r="E35" s="64"/>
      <c r="F35" s="64"/>
      <c r="G35" s="64"/>
    </row>
    <row r="36" spans="1:7">
      <c r="A36" s="64">
        <v>17</v>
      </c>
      <c r="B36" s="64" t="s">
        <v>110</v>
      </c>
      <c r="C36" s="64"/>
      <c r="D36" s="64"/>
      <c r="E36" s="64"/>
      <c r="F36" s="64"/>
      <c r="G36" s="64"/>
    </row>
    <row r="37" spans="1:7">
      <c r="A37" s="64">
        <v>18</v>
      </c>
      <c r="B37" s="64" t="s">
        <v>111</v>
      </c>
      <c r="C37" s="64"/>
      <c r="D37" s="64"/>
      <c r="E37" s="64"/>
      <c r="F37" s="64"/>
      <c r="G37" s="64"/>
    </row>
    <row r="38" spans="1:7">
      <c r="A38" s="64">
        <v>25</v>
      </c>
      <c r="B38" s="64" t="s">
        <v>112</v>
      </c>
      <c r="C38" s="64"/>
      <c r="D38" s="64"/>
      <c r="E38" s="64"/>
      <c r="F38" s="64"/>
      <c r="G38" s="64"/>
    </row>
    <row r="39" spans="1:7">
      <c r="A39" s="64">
        <v>27</v>
      </c>
      <c r="B39" s="64" t="s">
        <v>113</v>
      </c>
      <c r="C39" s="64"/>
      <c r="D39" s="64"/>
      <c r="E39" s="64"/>
      <c r="F39" s="64"/>
      <c r="G39" s="64"/>
    </row>
    <row r="40" spans="1:7">
      <c r="A40" s="64">
        <v>28</v>
      </c>
      <c r="B40" s="64" t="s">
        <v>114</v>
      </c>
      <c r="C40" s="64"/>
      <c r="D40" s="64"/>
      <c r="E40" s="64"/>
      <c r="F40" s="64"/>
      <c r="G40" s="64"/>
    </row>
    <row r="41" spans="1:7">
      <c r="A41" s="64" t="s">
        <v>115</v>
      </c>
      <c r="B41" s="64"/>
      <c r="C41" s="64"/>
      <c r="D41" s="64"/>
      <c r="E41" s="64"/>
      <c r="F41" s="64"/>
      <c r="G41" s="64"/>
    </row>
    <row r="42" spans="1:7">
      <c r="A42" s="64" t="s">
        <v>116</v>
      </c>
      <c r="B42" s="64"/>
      <c r="C42" s="64"/>
      <c r="D42" s="64"/>
      <c r="E42" s="64"/>
      <c r="F42" s="64"/>
      <c r="G42" s="64"/>
    </row>
    <row r="43" spans="1:7">
      <c r="A43" s="64" t="s">
        <v>117</v>
      </c>
      <c r="B43" s="64"/>
      <c r="C43" s="64"/>
      <c r="D43" s="64"/>
      <c r="E43" s="64"/>
      <c r="F43" s="64"/>
      <c r="G43" s="64"/>
    </row>
    <row r="45" spans="1:7">
      <c r="A45" s="64" t="s">
        <v>118</v>
      </c>
      <c r="B45" s="64"/>
      <c r="C45" s="64"/>
      <c r="D45" s="64"/>
      <c r="E45" s="64"/>
      <c r="F45" s="64"/>
      <c r="G45" s="64"/>
    </row>
    <row r="46" spans="1:7">
      <c r="A46" s="64" t="s">
        <v>73</v>
      </c>
      <c r="B46" s="64"/>
      <c r="C46" s="64"/>
      <c r="D46" s="64"/>
      <c r="E46" s="64"/>
      <c r="F46" s="64"/>
      <c r="G46" s="64"/>
    </row>
    <row r="47" spans="1:7">
      <c r="A47" s="64" t="s">
        <v>74</v>
      </c>
      <c r="B47" s="64"/>
      <c r="C47" s="64"/>
      <c r="D47" s="64"/>
      <c r="E47" s="64"/>
      <c r="F47" s="64"/>
      <c r="G47" s="64"/>
    </row>
    <row r="48" spans="1:7">
      <c r="A48" s="64" t="s">
        <v>119</v>
      </c>
      <c r="B48" s="64" t="s">
        <v>76</v>
      </c>
      <c r="C48" s="64">
        <v>2011</v>
      </c>
      <c r="D48" s="64">
        <v>2012</v>
      </c>
      <c r="E48" s="64">
        <v>2013</v>
      </c>
      <c r="F48" s="64">
        <v>2014</v>
      </c>
      <c r="G48" s="64">
        <v>2015</v>
      </c>
    </row>
    <row r="49" spans="1:7">
      <c r="A49" s="64" t="s">
        <v>78</v>
      </c>
      <c r="B49" s="64" t="s">
        <v>120</v>
      </c>
      <c r="C49" s="64">
        <v>122.7</v>
      </c>
      <c r="D49" s="64">
        <v>125.1</v>
      </c>
      <c r="E49" s="64">
        <v>126.6</v>
      </c>
      <c r="F49" s="64">
        <v>128.80000000000001</v>
      </c>
      <c r="G49" s="64">
        <v>129.30000000000001</v>
      </c>
    </row>
    <row r="50" spans="1:7">
      <c r="A50" s="64" t="s">
        <v>78</v>
      </c>
      <c r="B50" s="64" t="s">
        <v>13</v>
      </c>
      <c r="C50" s="64">
        <v>121.7</v>
      </c>
      <c r="D50" s="64">
        <v>123.9</v>
      </c>
      <c r="E50" s="64">
        <v>124.5</v>
      </c>
      <c r="F50" s="64">
        <v>125.9</v>
      </c>
      <c r="G50" s="64">
        <v>120.9</v>
      </c>
    </row>
    <row r="51" spans="1:7">
      <c r="A51" s="64" t="s">
        <v>78</v>
      </c>
      <c r="B51" s="64" t="s">
        <v>121</v>
      </c>
      <c r="C51" s="64">
        <v>121.6</v>
      </c>
      <c r="D51" s="64">
        <v>123.8</v>
      </c>
      <c r="E51" s="64">
        <v>124.2</v>
      </c>
      <c r="F51" s="64">
        <v>125.4</v>
      </c>
      <c r="G51" s="64">
        <v>119.9</v>
      </c>
    </row>
    <row r="52" spans="1:7">
      <c r="A52" s="64" t="s">
        <v>78</v>
      </c>
      <c r="B52" s="64" t="s">
        <v>122</v>
      </c>
      <c r="C52" s="64">
        <v>92.6</v>
      </c>
      <c r="D52" s="64">
        <v>93.2</v>
      </c>
      <c r="E52" s="64">
        <v>93.8</v>
      </c>
      <c r="F52" s="64">
        <v>95.3</v>
      </c>
      <c r="G52" s="64">
        <v>96.6</v>
      </c>
    </row>
    <row r="53" spans="1:7">
      <c r="A53" s="64" t="s">
        <v>78</v>
      </c>
      <c r="B53" s="64" t="s">
        <v>123</v>
      </c>
      <c r="C53" s="64">
        <v>147</v>
      </c>
      <c r="D53" s="64">
        <v>150.80000000000001</v>
      </c>
      <c r="E53" s="64">
        <v>150.69999999999999</v>
      </c>
      <c r="F53" s="64">
        <v>151.6</v>
      </c>
      <c r="G53" s="64">
        <v>138</v>
      </c>
    </row>
    <row r="54" spans="1:7">
      <c r="A54" s="64" t="s">
        <v>78</v>
      </c>
      <c r="B54" s="64" t="s">
        <v>124</v>
      </c>
      <c r="C54" s="64">
        <v>122.7</v>
      </c>
      <c r="D54" s="64">
        <v>125.4</v>
      </c>
      <c r="E54" s="64">
        <v>128.4</v>
      </c>
      <c r="F54" s="64">
        <v>131.5</v>
      </c>
      <c r="G54" s="64">
        <v>132.5</v>
      </c>
    </row>
    <row r="55" spans="1:7">
      <c r="A55" s="64" t="s">
        <v>78</v>
      </c>
      <c r="B55" s="64" t="s">
        <v>125</v>
      </c>
      <c r="C55" s="64">
        <v>126.6</v>
      </c>
      <c r="D55" s="64">
        <v>127.6</v>
      </c>
      <c r="E55" s="64">
        <v>131.5</v>
      </c>
      <c r="F55" s="64">
        <v>140.69999999999999</v>
      </c>
      <c r="G55" s="64">
        <v>140.69999999999999</v>
      </c>
    </row>
    <row r="56" spans="1:7">
      <c r="A56" s="64" t="s">
        <v>78</v>
      </c>
      <c r="B56" s="64" t="s">
        <v>126</v>
      </c>
      <c r="C56" s="64">
        <v>120.3</v>
      </c>
      <c r="D56" s="64">
        <v>123.6</v>
      </c>
      <c r="E56" s="64">
        <v>126.4</v>
      </c>
      <c r="F56" s="64">
        <v>127.4</v>
      </c>
      <c r="G56" s="64">
        <v>128.6</v>
      </c>
    </row>
    <row r="57" spans="1:7">
      <c r="A57" s="64" t="s">
        <v>127</v>
      </c>
      <c r="B57" s="64" t="s">
        <v>120</v>
      </c>
      <c r="C57" s="64">
        <v>121.7</v>
      </c>
      <c r="D57" s="64">
        <v>123.8</v>
      </c>
      <c r="E57" s="64">
        <v>125.2</v>
      </c>
      <c r="F57" s="64">
        <v>127.5</v>
      </c>
      <c r="G57" s="64">
        <v>128.19999999999999</v>
      </c>
    </row>
    <row r="58" spans="1:7">
      <c r="A58" s="64" t="s">
        <v>97</v>
      </c>
      <c r="B58" s="64"/>
      <c r="C58" s="64"/>
      <c r="D58" s="64"/>
      <c r="E58" s="64"/>
      <c r="F58" s="64"/>
      <c r="G58" s="64"/>
    </row>
    <row r="59" spans="1:7">
      <c r="A59" s="64">
        <v>2</v>
      </c>
      <c r="B59" s="64" t="s">
        <v>99</v>
      </c>
      <c r="C59" s="64"/>
      <c r="D59" s="64"/>
      <c r="E59" s="64"/>
      <c r="F59" s="64"/>
      <c r="G59" s="64"/>
    </row>
    <row r="60" spans="1:7">
      <c r="A60" s="64">
        <v>9</v>
      </c>
      <c r="B60" s="64" t="s">
        <v>105</v>
      </c>
      <c r="C60" s="64"/>
      <c r="D60" s="64"/>
      <c r="E60" s="64"/>
      <c r="F60" s="64"/>
      <c r="G60" s="64"/>
    </row>
    <row r="61" spans="1:7">
      <c r="A61" s="64">
        <v>11</v>
      </c>
      <c r="B61" s="64" t="s">
        <v>128</v>
      </c>
      <c r="C61" s="64"/>
      <c r="D61" s="64"/>
      <c r="E61" s="64"/>
      <c r="F61" s="64"/>
      <c r="G61" s="64"/>
    </row>
    <row r="62" spans="1:7">
      <c r="A62" s="64">
        <v>15</v>
      </c>
      <c r="B62" s="64" t="s">
        <v>129</v>
      </c>
      <c r="C62" s="64"/>
      <c r="D62" s="64"/>
      <c r="E62" s="64"/>
      <c r="F62" s="64"/>
      <c r="G62" s="64"/>
    </row>
    <row r="63" spans="1:7">
      <c r="A63" s="64" t="s">
        <v>115</v>
      </c>
      <c r="B63" s="64"/>
      <c r="C63" s="64"/>
      <c r="D63" s="64"/>
      <c r="E63" s="64"/>
      <c r="F63" s="64"/>
      <c r="G63" s="64"/>
    </row>
    <row r="64" spans="1:7">
      <c r="A64" s="64" t="s">
        <v>130</v>
      </c>
      <c r="B64" s="64"/>
      <c r="C64" s="64"/>
      <c r="D64" s="64"/>
      <c r="E64" s="64"/>
      <c r="F64" s="64"/>
      <c r="G64" s="64"/>
    </row>
    <row r="65" spans="1:7">
      <c r="A65" s="64" t="s">
        <v>131</v>
      </c>
      <c r="B65" s="64"/>
      <c r="C65" s="64"/>
      <c r="D65" s="64"/>
      <c r="E65" s="64"/>
      <c r="F65" s="64"/>
      <c r="G65" s="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2"/>
  <sheetViews>
    <sheetView workbookViewId="0">
      <selection activeCell="E17" sqref="E17"/>
    </sheetView>
  </sheetViews>
  <sheetFormatPr defaultColWidth="8.85546875" defaultRowHeight="15"/>
  <cols>
    <col min="1" max="1" width="33.28515625" customWidth="1"/>
    <col min="3" max="3" width="19.140625" customWidth="1"/>
  </cols>
  <sheetData>
    <row r="1" spans="1:4">
      <c r="A1" s="64" t="s">
        <v>132</v>
      </c>
      <c r="B1" s="64"/>
      <c r="C1" s="64"/>
      <c r="D1" s="64"/>
    </row>
    <row r="2" spans="1:4">
      <c r="A2" s="64" t="s">
        <v>73</v>
      </c>
      <c r="B2" s="64"/>
      <c r="C2" s="64"/>
      <c r="D2" s="64"/>
    </row>
    <row r="3" spans="1:4">
      <c r="A3" s="64" t="s">
        <v>133</v>
      </c>
      <c r="B3" s="64"/>
      <c r="C3" s="64"/>
      <c r="D3" s="64"/>
    </row>
    <row r="4" spans="1:4">
      <c r="A4" s="64" t="s">
        <v>134</v>
      </c>
      <c r="B4" s="64"/>
      <c r="C4" s="64"/>
      <c r="D4" s="64"/>
    </row>
    <row r="5" spans="1:4">
      <c r="A5" s="64" t="s">
        <v>135</v>
      </c>
      <c r="B5" s="64" t="s">
        <v>136</v>
      </c>
      <c r="C5" s="64" t="s">
        <v>81</v>
      </c>
      <c r="D5" s="64">
        <v>2014</v>
      </c>
    </row>
    <row r="6" spans="1:4">
      <c r="A6" s="64" t="s">
        <v>137</v>
      </c>
      <c r="B6" s="64" t="s">
        <v>138</v>
      </c>
      <c r="C6" s="64" t="s">
        <v>139</v>
      </c>
      <c r="D6" s="64">
        <v>38114</v>
      </c>
    </row>
    <row r="7" spans="1:4">
      <c r="A7" s="64" t="s">
        <v>137</v>
      </c>
      <c r="B7" s="64" t="s">
        <v>138</v>
      </c>
      <c r="C7" s="64" t="s">
        <v>8</v>
      </c>
      <c r="D7" s="64">
        <v>12180</v>
      </c>
    </row>
    <row r="8" spans="1:4">
      <c r="A8" s="64" t="s">
        <v>137</v>
      </c>
      <c r="B8" s="64" t="s">
        <v>138</v>
      </c>
      <c r="C8" s="64" t="s">
        <v>140</v>
      </c>
      <c r="D8" s="64">
        <v>2118</v>
      </c>
    </row>
    <row r="9" spans="1:4">
      <c r="A9" s="64" t="s">
        <v>137</v>
      </c>
      <c r="B9" s="64" t="s">
        <v>138</v>
      </c>
      <c r="C9" s="64" t="s">
        <v>13</v>
      </c>
      <c r="D9" s="64">
        <v>5029</v>
      </c>
    </row>
    <row r="10" spans="1:4">
      <c r="A10" s="64" t="s">
        <v>137</v>
      </c>
      <c r="B10" s="64" t="s">
        <v>138</v>
      </c>
      <c r="C10" s="64" t="s">
        <v>11</v>
      </c>
      <c r="D10" s="64">
        <v>8013</v>
      </c>
    </row>
    <row r="11" spans="1:4">
      <c r="A11" s="64" t="s">
        <v>137</v>
      </c>
      <c r="B11" s="64" t="s">
        <v>138</v>
      </c>
      <c r="C11" s="64" t="s">
        <v>141</v>
      </c>
      <c r="D11" s="64">
        <v>10776</v>
      </c>
    </row>
    <row r="12" spans="1:4">
      <c r="A12" s="64" t="s">
        <v>142</v>
      </c>
      <c r="B12" s="64" t="s">
        <v>138</v>
      </c>
      <c r="C12" s="64" t="s">
        <v>139</v>
      </c>
      <c r="D12" s="137">
        <v>38295</v>
      </c>
    </row>
    <row r="13" spans="1:4">
      <c r="A13" s="64" t="s">
        <v>142</v>
      </c>
      <c r="B13" s="64" t="s">
        <v>138</v>
      </c>
      <c r="C13" s="64" t="s">
        <v>8</v>
      </c>
      <c r="D13" s="137">
        <v>12180</v>
      </c>
    </row>
    <row r="14" spans="1:4">
      <c r="A14" s="64" t="s">
        <v>142</v>
      </c>
      <c r="B14" s="64" t="s">
        <v>138</v>
      </c>
      <c r="C14" s="64" t="s">
        <v>140</v>
      </c>
      <c r="D14" s="137">
        <v>2118</v>
      </c>
    </row>
    <row r="15" spans="1:4">
      <c r="A15" s="64" t="s">
        <v>142</v>
      </c>
      <c r="B15" s="64" t="s">
        <v>138</v>
      </c>
      <c r="C15" s="64" t="s">
        <v>13</v>
      </c>
      <c r="D15" s="137">
        <v>5029</v>
      </c>
    </row>
    <row r="16" spans="1:4">
      <c r="A16" s="64" t="s">
        <v>142</v>
      </c>
      <c r="B16" s="64" t="s">
        <v>138</v>
      </c>
      <c r="C16" s="64" t="s">
        <v>11</v>
      </c>
      <c r="D16" s="137">
        <v>8193</v>
      </c>
    </row>
    <row r="17" spans="1:6">
      <c r="A17" s="64" t="s">
        <v>142</v>
      </c>
      <c r="B17" s="64" t="s">
        <v>138</v>
      </c>
      <c r="C17" s="64" t="s">
        <v>141</v>
      </c>
      <c r="D17" s="137">
        <v>10776</v>
      </c>
      <c r="E17" s="64">
        <f>D17/(D13+D14)</f>
        <v>0.7536718422156945</v>
      </c>
      <c r="F17" s="64"/>
    </row>
    <row r="18" spans="1:6">
      <c r="A18" s="64" t="s">
        <v>143</v>
      </c>
      <c r="B18" s="64" t="s">
        <v>138</v>
      </c>
      <c r="C18" s="64" t="s">
        <v>139</v>
      </c>
      <c r="D18" s="64">
        <v>36190</v>
      </c>
      <c r="E18" s="64"/>
      <c r="F18" s="64"/>
    </row>
    <row r="19" spans="1:6">
      <c r="A19" s="64" t="s">
        <v>143</v>
      </c>
      <c r="B19" s="64" t="s">
        <v>138</v>
      </c>
      <c r="C19" s="64" t="s">
        <v>8</v>
      </c>
      <c r="D19" s="64">
        <v>12180</v>
      </c>
      <c r="E19" s="64"/>
      <c r="F19" s="64"/>
    </row>
    <row r="20" spans="1:6">
      <c r="A20" s="64" t="s">
        <v>143</v>
      </c>
      <c r="B20" s="64" t="s">
        <v>138</v>
      </c>
      <c r="C20" s="64" t="s">
        <v>140</v>
      </c>
      <c r="D20" s="64">
        <v>2118</v>
      </c>
      <c r="E20" s="64"/>
      <c r="F20" s="64"/>
    </row>
    <row r="21" spans="1:6">
      <c r="A21" s="64" t="s">
        <v>143</v>
      </c>
      <c r="B21" s="64" t="s">
        <v>138</v>
      </c>
      <c r="C21" s="64" t="s">
        <v>13</v>
      </c>
      <c r="D21" s="64">
        <v>2682</v>
      </c>
      <c r="E21" s="64"/>
      <c r="F21" s="64"/>
    </row>
    <row r="22" spans="1:6">
      <c r="A22" s="64" t="s">
        <v>143</v>
      </c>
      <c r="B22" s="64" t="s">
        <v>138</v>
      </c>
      <c r="C22" s="64" t="s">
        <v>11</v>
      </c>
      <c r="D22" s="64">
        <v>8435</v>
      </c>
      <c r="E22" s="64"/>
      <c r="F22" s="64"/>
    </row>
    <row r="23" spans="1:6">
      <c r="A23" s="64" t="s">
        <v>143</v>
      </c>
      <c r="B23" s="64" t="s">
        <v>138</v>
      </c>
      <c r="C23" s="64" t="s">
        <v>141</v>
      </c>
      <c r="D23" s="64">
        <v>10776</v>
      </c>
      <c r="E23" s="64"/>
      <c r="F23" s="64"/>
    </row>
    <row r="24" spans="1:6">
      <c r="A24" s="64" t="s">
        <v>144</v>
      </c>
      <c r="B24" s="64" t="s">
        <v>138</v>
      </c>
      <c r="C24" s="64" t="s">
        <v>139</v>
      </c>
      <c r="D24" s="64">
        <v>36879</v>
      </c>
      <c r="E24" s="64"/>
      <c r="F24" s="64"/>
    </row>
    <row r="25" spans="1:6">
      <c r="A25" s="64" t="s">
        <v>144</v>
      </c>
      <c r="B25" s="64" t="s">
        <v>138</v>
      </c>
      <c r="C25" s="64" t="s">
        <v>8</v>
      </c>
      <c r="D25" s="64">
        <v>11302</v>
      </c>
      <c r="E25" s="64"/>
      <c r="F25" s="64"/>
    </row>
    <row r="26" spans="1:6">
      <c r="A26" s="64" t="s">
        <v>144</v>
      </c>
      <c r="B26" s="64" t="s">
        <v>138</v>
      </c>
      <c r="C26" s="64" t="s">
        <v>140</v>
      </c>
      <c r="D26" s="64">
        <v>2118</v>
      </c>
      <c r="E26" s="64"/>
      <c r="F26" s="64"/>
    </row>
    <row r="27" spans="1:6">
      <c r="A27" s="64" t="s">
        <v>144</v>
      </c>
      <c r="B27" s="64" t="s">
        <v>138</v>
      </c>
      <c r="C27" s="64" t="s">
        <v>13</v>
      </c>
      <c r="D27" s="64">
        <v>2853</v>
      </c>
      <c r="E27" s="64"/>
      <c r="F27" s="64"/>
    </row>
    <row r="28" spans="1:6">
      <c r="A28" s="64" t="s">
        <v>144</v>
      </c>
      <c r="B28" s="64" t="s">
        <v>138</v>
      </c>
      <c r="C28" s="64" t="s">
        <v>11</v>
      </c>
      <c r="D28" s="64">
        <v>10492</v>
      </c>
      <c r="E28" s="64"/>
      <c r="F28" s="64"/>
    </row>
    <row r="29" spans="1:6">
      <c r="A29" s="64" t="s">
        <v>144</v>
      </c>
      <c r="B29" s="64" t="s">
        <v>138</v>
      </c>
      <c r="C29" s="64" t="s">
        <v>141</v>
      </c>
      <c r="D29" s="64">
        <v>10114</v>
      </c>
      <c r="E29" s="64">
        <f>D29/(D25+D26)</f>
        <v>0.7536512667660209</v>
      </c>
      <c r="F29" s="70"/>
    </row>
    <row r="30" spans="1:6">
      <c r="A30" s="64" t="s">
        <v>145</v>
      </c>
      <c r="B30" s="64" t="s">
        <v>138</v>
      </c>
      <c r="C30" s="64" t="s">
        <v>139</v>
      </c>
      <c r="D30" s="64">
        <v>34552</v>
      </c>
      <c r="E30" s="64"/>
      <c r="F30" s="64"/>
    </row>
    <row r="31" spans="1:6">
      <c r="A31" s="64" t="s">
        <v>145</v>
      </c>
      <c r="B31" s="64" t="s">
        <v>138</v>
      </c>
      <c r="C31" s="64" t="s">
        <v>8</v>
      </c>
      <c r="D31" s="64">
        <v>11800</v>
      </c>
      <c r="E31" s="64"/>
      <c r="F31" s="64"/>
    </row>
    <row r="32" spans="1:6">
      <c r="A32" s="64" t="s">
        <v>145</v>
      </c>
      <c r="B32" s="64" t="s">
        <v>138</v>
      </c>
      <c r="C32" s="64" t="s">
        <v>140</v>
      </c>
      <c r="D32" s="64">
        <v>2118</v>
      </c>
      <c r="E32" s="64"/>
      <c r="F32" s="64"/>
    </row>
    <row r="33" spans="1:4">
      <c r="A33" s="64" t="s">
        <v>145</v>
      </c>
      <c r="B33" s="64" t="s">
        <v>138</v>
      </c>
      <c r="C33" s="64" t="s">
        <v>13</v>
      </c>
      <c r="D33" s="64">
        <v>2025</v>
      </c>
    </row>
    <row r="34" spans="1:4">
      <c r="A34" s="64" t="s">
        <v>145</v>
      </c>
      <c r="B34" s="64" t="s">
        <v>138</v>
      </c>
      <c r="C34" s="64" t="s">
        <v>11</v>
      </c>
      <c r="D34" s="64">
        <v>8119</v>
      </c>
    </row>
    <row r="35" spans="1:4">
      <c r="A35" s="64" t="s">
        <v>145</v>
      </c>
      <c r="B35" s="64" t="s">
        <v>138</v>
      </c>
      <c r="C35" s="64" t="s">
        <v>141</v>
      </c>
      <c r="D35" s="64">
        <v>10490</v>
      </c>
    </row>
    <row r="36" spans="1:4">
      <c r="A36" s="64" t="s">
        <v>97</v>
      </c>
      <c r="B36" s="64"/>
      <c r="C36" s="64"/>
      <c r="D36" s="64"/>
    </row>
    <row r="37" spans="1:4">
      <c r="A37" s="64">
        <v>1</v>
      </c>
      <c r="B37" s="64" t="s">
        <v>146</v>
      </c>
      <c r="C37" s="64"/>
      <c r="D37" s="64"/>
    </row>
    <row r="38" spans="1:4">
      <c r="A38" s="64">
        <v>2</v>
      </c>
      <c r="B38" s="67" t="s">
        <v>147</v>
      </c>
      <c r="C38" s="64"/>
      <c r="D38" s="64"/>
    </row>
    <row r="39" spans="1:4">
      <c r="A39" s="64">
        <v>3</v>
      </c>
      <c r="B39" s="67" t="s">
        <v>148</v>
      </c>
      <c r="C39" s="64"/>
      <c r="D39" s="64"/>
    </row>
    <row r="40" spans="1:4">
      <c r="A40" s="64" t="s">
        <v>115</v>
      </c>
      <c r="B40" s="64"/>
      <c r="C40" s="64"/>
      <c r="D40" s="64"/>
    </row>
    <row r="41" spans="1:4">
      <c r="A41" s="64" t="s">
        <v>149</v>
      </c>
      <c r="B41" s="64"/>
      <c r="C41" s="64"/>
      <c r="D41" s="64"/>
    </row>
    <row r="42" spans="1:4">
      <c r="A42" s="64" t="s">
        <v>150</v>
      </c>
      <c r="B42" s="64"/>
      <c r="C42" s="64"/>
      <c r="D42" s="6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8"/>
  <sheetViews>
    <sheetView workbookViewId="0">
      <selection activeCell="B18" sqref="B18"/>
    </sheetView>
  </sheetViews>
  <sheetFormatPr defaultColWidth="8.85546875" defaultRowHeight="15"/>
  <cols>
    <col min="1" max="1" width="24.28515625" customWidth="1"/>
    <col min="2" max="2" width="10.42578125" customWidth="1"/>
    <col min="3" max="3" width="14.28515625" customWidth="1"/>
  </cols>
  <sheetData>
    <row r="1" spans="1:2">
      <c r="A1" s="149" t="s">
        <v>151</v>
      </c>
      <c r="B1" s="149"/>
    </row>
    <row r="2" spans="1:2">
      <c r="A2" s="6"/>
      <c r="B2" s="6"/>
    </row>
    <row r="3" spans="1:2">
      <c r="A3" s="134" t="s">
        <v>11</v>
      </c>
      <c r="B3" s="66"/>
    </row>
    <row r="4" spans="1:2">
      <c r="A4" s="71" t="s">
        <v>152</v>
      </c>
      <c r="B4" s="72">
        <v>1128</v>
      </c>
    </row>
    <row r="5" spans="1:2">
      <c r="A5" s="73" t="s">
        <v>153</v>
      </c>
      <c r="B5" s="74">
        <v>20</v>
      </c>
    </row>
    <row r="6" spans="1:2">
      <c r="A6" s="27" t="s">
        <v>154</v>
      </c>
      <c r="B6" s="75">
        <f>SUM(B4:B5)</f>
        <v>1148</v>
      </c>
    </row>
    <row r="7" spans="1:2">
      <c r="A7" s="76"/>
      <c r="B7" s="76"/>
    </row>
    <row r="8" spans="1:2">
      <c r="A8" s="154" t="s">
        <v>155</v>
      </c>
      <c r="B8" s="155"/>
    </row>
    <row r="9" spans="1:2">
      <c r="A9" s="77" t="s">
        <v>156</v>
      </c>
      <c r="B9" s="78">
        <v>10.83</v>
      </c>
    </row>
    <row r="10" spans="1:2">
      <c r="A10" s="71" t="s">
        <v>157</v>
      </c>
      <c r="B10" s="78">
        <f>0.148*1100</f>
        <v>162.79999999999998</v>
      </c>
    </row>
    <row r="11" spans="1:2">
      <c r="A11" s="71" t="s">
        <v>158</v>
      </c>
      <c r="B11" s="78">
        <f>SUM(B9:B10)*0.15</f>
        <v>26.044499999999999</v>
      </c>
    </row>
    <row r="12" spans="1:2">
      <c r="A12" s="71" t="s">
        <v>20</v>
      </c>
      <c r="B12" s="78">
        <f>SUM(B9:B11)</f>
        <v>199.67449999999999</v>
      </c>
    </row>
    <row r="13" spans="1:2">
      <c r="A13" s="71" t="s">
        <v>159</v>
      </c>
      <c r="B13" s="77">
        <f>-(B12*10%)</f>
        <v>-19.967449999999999</v>
      </c>
    </row>
    <row r="14" spans="1:2">
      <c r="A14" s="27" t="s">
        <v>154</v>
      </c>
      <c r="B14" s="79">
        <f>SUM(B12:B13)</f>
        <v>179.70704999999998</v>
      </c>
    </row>
    <row r="15" spans="1:2">
      <c r="A15" s="80"/>
      <c r="B15" s="28"/>
    </row>
    <row r="16" spans="1:2">
      <c r="A16" s="150" t="s">
        <v>160</v>
      </c>
      <c r="B16" s="151"/>
    </row>
    <row r="17" spans="1:6">
      <c r="A17" s="81" t="s">
        <v>18</v>
      </c>
      <c r="B17" s="82">
        <f>(('1st time calculation'!C7*75.6%)+('1st time calculation'!C6*75.6%))/2</f>
        <v>4810.6963068793093</v>
      </c>
      <c r="C17" s="64"/>
      <c r="D17" s="64"/>
      <c r="E17" s="64"/>
      <c r="F17" s="64"/>
    </row>
    <row r="18" spans="1:6">
      <c r="A18" s="71" t="s">
        <v>19</v>
      </c>
      <c r="B18" s="89">
        <f>B17</f>
        <v>4810.6963068793093</v>
      </c>
      <c r="C18" s="64"/>
      <c r="D18" s="64"/>
      <c r="E18" s="64"/>
      <c r="F18" s="64"/>
    </row>
    <row r="19" spans="1:6">
      <c r="A19" s="17"/>
      <c r="B19" s="17"/>
      <c r="C19" s="64"/>
      <c r="D19" s="64"/>
      <c r="E19" s="64"/>
      <c r="F19" s="64"/>
    </row>
    <row r="20" spans="1:6">
      <c r="A20" s="150" t="s">
        <v>161</v>
      </c>
      <c r="B20" s="151"/>
      <c r="C20" s="64"/>
      <c r="D20" s="64"/>
      <c r="E20" s="64"/>
      <c r="F20" s="64"/>
    </row>
    <row r="21" spans="1:6">
      <c r="A21" s="37" t="s">
        <v>162</v>
      </c>
      <c r="B21" s="83">
        <f>43.4*12</f>
        <v>520.79999999999995</v>
      </c>
      <c r="C21" s="64"/>
      <c r="D21" s="64"/>
      <c r="E21" s="64"/>
      <c r="F21" s="64"/>
    </row>
    <row r="22" spans="1:6">
      <c r="A22" s="71" t="s">
        <v>163</v>
      </c>
      <c r="B22" s="83">
        <v>4577.8500000000004</v>
      </c>
      <c r="C22" s="64"/>
      <c r="D22" s="64"/>
      <c r="E22" s="64"/>
      <c r="F22" s="64"/>
    </row>
    <row r="23" spans="1:6">
      <c r="A23" s="27" t="s">
        <v>164</v>
      </c>
      <c r="B23" s="131">
        <f>SUM(B21:B22)</f>
        <v>5098.6500000000005</v>
      </c>
      <c r="C23" s="64"/>
      <c r="D23" s="64"/>
      <c r="E23" s="64"/>
      <c r="F23" s="64"/>
    </row>
    <row r="24" spans="1:6">
      <c r="A24" s="28"/>
      <c r="B24" s="17"/>
      <c r="C24" s="64"/>
      <c r="D24" s="64"/>
      <c r="E24" s="64"/>
      <c r="F24" s="64"/>
    </row>
    <row r="25" spans="1:6">
      <c r="A25" s="134" t="s">
        <v>17</v>
      </c>
      <c r="B25" s="66"/>
      <c r="C25" s="8"/>
      <c r="D25" s="5"/>
      <c r="E25" s="5"/>
      <c r="F25" s="5"/>
    </row>
    <row r="26" spans="1:6">
      <c r="A26" s="71" t="s">
        <v>165</v>
      </c>
      <c r="B26" s="78">
        <v>403</v>
      </c>
      <c r="C26" s="3"/>
      <c r="D26" s="64"/>
      <c r="E26" s="64"/>
      <c r="F26" s="64"/>
    </row>
    <row r="27" spans="1:6">
      <c r="A27" s="71" t="s">
        <v>166</v>
      </c>
      <c r="B27" s="78">
        <v>37.5</v>
      </c>
      <c r="C27" s="17"/>
      <c r="D27" s="64"/>
      <c r="E27" s="64"/>
      <c r="F27" s="64"/>
    </row>
    <row r="28" spans="1:6">
      <c r="A28" s="27" t="s">
        <v>164</v>
      </c>
      <c r="B28" s="84">
        <f>(B26)+B27</f>
        <v>440.5</v>
      </c>
      <c r="C28" s="17"/>
      <c r="D28" s="64"/>
      <c r="E28" s="64"/>
      <c r="F28" s="64"/>
    </row>
    <row r="29" spans="1:6">
      <c r="A29" s="85"/>
      <c r="B29" s="85"/>
      <c r="C29" s="17"/>
      <c r="D29" s="64"/>
      <c r="E29" s="64"/>
      <c r="F29" s="64"/>
    </row>
    <row r="30" spans="1:6">
      <c r="A30" s="127" t="s">
        <v>14</v>
      </c>
      <c r="B30" s="128"/>
      <c r="C30" s="17"/>
      <c r="D30" s="64"/>
      <c r="E30" s="64"/>
      <c r="F30" s="64"/>
    </row>
    <row r="31" spans="1:6">
      <c r="A31" s="86" t="s">
        <v>167</v>
      </c>
      <c r="B31" s="83">
        <f>8840</f>
        <v>8840</v>
      </c>
      <c r="C31" s="64"/>
      <c r="D31" s="64"/>
      <c r="E31" s="64"/>
      <c r="F31" s="64"/>
    </row>
    <row r="32" spans="1:6">
      <c r="A32" s="86" t="s">
        <v>168</v>
      </c>
      <c r="B32" s="83">
        <f>15.25*195</f>
        <v>2973.75</v>
      </c>
      <c r="C32" s="64"/>
      <c r="D32" s="53"/>
      <c r="E32" s="64"/>
      <c r="F32" s="64"/>
    </row>
    <row r="33" spans="1:4">
      <c r="A33" s="86" t="s">
        <v>169</v>
      </c>
      <c r="B33" s="83">
        <f>80*7</f>
        <v>560</v>
      </c>
      <c r="C33" s="64"/>
      <c r="D33" s="53"/>
    </row>
    <row r="34" spans="1:4" s="64" customFormat="1">
      <c r="A34" s="86" t="s">
        <v>170</v>
      </c>
      <c r="B34" s="138">
        <f>34*15</f>
        <v>510</v>
      </c>
      <c r="D34" s="64" t="s">
        <v>171</v>
      </c>
    </row>
    <row r="35" spans="1:4" s="64" customFormat="1">
      <c r="A35" s="125" t="s">
        <v>172</v>
      </c>
      <c r="B35" s="38"/>
      <c r="C35" s="64" t="s">
        <v>173</v>
      </c>
    </row>
    <row r="36" spans="1:4">
      <c r="A36" s="127" t="s">
        <v>164</v>
      </c>
      <c r="B36" s="87">
        <f>SUM(B31:B35)</f>
        <v>12883.75</v>
      </c>
      <c r="C36" s="64"/>
      <c r="D36" s="64"/>
    </row>
    <row r="37" spans="1:4">
      <c r="A37" s="152"/>
      <c r="B37" s="153"/>
      <c r="C37" s="64"/>
      <c r="D37" s="64"/>
    </row>
    <row r="38" spans="1:4" s="64" customFormat="1">
      <c r="A38" s="135" t="s">
        <v>174</v>
      </c>
      <c r="B38" s="136"/>
    </row>
    <row r="39" spans="1:4" s="64" customFormat="1">
      <c r="A39" s="88" t="s">
        <v>175</v>
      </c>
      <c r="B39" s="88">
        <v>245.6</v>
      </c>
    </row>
    <row r="40" spans="1:4">
      <c r="A40" s="88" t="s">
        <v>176</v>
      </c>
      <c r="B40" s="88">
        <v>290.2</v>
      </c>
      <c r="C40" s="64"/>
      <c r="D40" s="64"/>
    </row>
    <row r="41" spans="1:4">
      <c r="A41" s="71" t="s">
        <v>177</v>
      </c>
      <c r="B41" s="71">
        <v>170.34</v>
      </c>
      <c r="C41" s="64"/>
      <c r="D41" s="64"/>
    </row>
    <row r="42" spans="1:4">
      <c r="A42" s="71" t="s">
        <v>178</v>
      </c>
      <c r="B42" s="71">
        <v>168.13</v>
      </c>
      <c r="C42" s="64"/>
      <c r="D42" s="64"/>
    </row>
    <row r="43" spans="1:4">
      <c r="A43" s="27" t="s">
        <v>154</v>
      </c>
      <c r="B43" s="27">
        <f>SUM(B39:B42)</f>
        <v>874.27</v>
      </c>
      <c r="C43" s="64"/>
      <c r="D43" s="64"/>
    </row>
    <row r="44" spans="1:4">
      <c r="A44" s="130" t="s">
        <v>179</v>
      </c>
      <c r="B44" s="64">
        <v>935.11</v>
      </c>
      <c r="C44" s="64"/>
      <c r="D44" s="64"/>
    </row>
    <row r="45" spans="1:4">
      <c r="A45" s="130" t="s">
        <v>180</v>
      </c>
      <c r="B45" s="64">
        <v>942.12</v>
      </c>
      <c r="C45" s="64"/>
      <c r="D45" s="64"/>
    </row>
    <row r="46" spans="1:4">
      <c r="A46" s="130" t="s">
        <v>181</v>
      </c>
      <c r="B46" s="129">
        <f>B43*B45/B44</f>
        <v>880.82391633069903</v>
      </c>
      <c r="C46" s="64"/>
      <c r="D46" s="64"/>
    </row>
    <row r="47" spans="1:4">
      <c r="A47" s="64"/>
      <c r="B47" s="64"/>
      <c r="C47" s="64"/>
      <c r="D47" s="64"/>
    </row>
    <row r="48" spans="1:4">
      <c r="A48" s="64"/>
      <c r="B48" s="64"/>
      <c r="C48" s="1"/>
      <c r="D48" s="64"/>
    </row>
  </sheetData>
  <mergeCells count="5">
    <mergeCell ref="A1:B1"/>
    <mergeCell ref="A16:B16"/>
    <mergeCell ref="A20:B20"/>
    <mergeCell ref="A37:B37"/>
    <mergeCell ref="A8:B8"/>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1st time calculation</vt:lpstr>
      <vt:lpstr>CPI</vt:lpstr>
      <vt:lpstr>MBM</vt:lpstr>
      <vt:lpstr>Family Expenses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Partridge</dc:creator>
  <cp:keywords/>
  <dc:description/>
  <cp:lastModifiedBy>CCPANS</cp:lastModifiedBy>
  <cp:revision/>
  <dcterms:created xsi:type="dcterms:W3CDTF">2014-07-08T21:01:56Z</dcterms:created>
  <dcterms:modified xsi:type="dcterms:W3CDTF">2016-11-16T18:28:49Z</dcterms:modified>
  <cp:category/>
  <cp:contentStatus/>
</cp:coreProperties>
</file>