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hristine\Dropbox\CCPA 2007\Research\Living Wage\Living Wage 2018\Living wage 2018 for web\"/>
    </mc:Choice>
  </mc:AlternateContent>
  <bookViews>
    <workbookView xWindow="0" yWindow="0" windowWidth="25605" windowHeight="15525" activeTab="1"/>
  </bookViews>
  <sheets>
    <sheet name="1st time calculation" sheetId="15" r:id="rId1"/>
    <sheet name="Sheet1" sheetId="18" r:id="rId2"/>
    <sheet name="Table 2 calculations" sheetId="16" r:id="rId3"/>
    <sheet name="Family Expenses" sheetId="14" r:id="rId4"/>
    <sheet name="Table 4 calculations" sheetId="17" r:id="rId5"/>
    <sheet name="CPI" sheetId="9" r:id="rId6"/>
    <sheet name="MBM" sheetId="10"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1" i="10" l="1"/>
  <c r="B49" i="14"/>
  <c r="B39" i="15"/>
  <c r="C13" i="17"/>
  <c r="B43" i="15"/>
  <c r="B41" i="14"/>
  <c r="B42" i="14"/>
  <c r="B43" i="14"/>
  <c r="B44" i="14"/>
  <c r="B46" i="14"/>
  <c r="C11" i="15"/>
  <c r="G41" i="15"/>
  <c r="B40" i="15"/>
  <c r="B53" i="14"/>
  <c r="C12" i="15"/>
  <c r="C8" i="17"/>
  <c r="B42" i="15"/>
  <c r="C38" i="15"/>
  <c r="C13" i="15"/>
  <c r="B27" i="14"/>
  <c r="I57" i="15"/>
  <c r="I47" i="15"/>
  <c r="I50" i="15"/>
  <c r="I53" i="15"/>
  <c r="I55" i="15"/>
  <c r="C58" i="17"/>
  <c r="G43" i="14"/>
  <c r="G44" i="14"/>
  <c r="I45" i="14"/>
  <c r="I12" i="16"/>
  <c r="K12" i="16"/>
  <c r="C22" i="16"/>
  <c r="B6" i="14"/>
  <c r="B22" i="14"/>
  <c r="B23" i="14"/>
  <c r="C15" i="15"/>
  <c r="B11" i="14"/>
  <c r="B12" i="14"/>
  <c r="B15" i="14"/>
  <c r="B9" i="15"/>
  <c r="C9" i="15"/>
  <c r="D32" i="10"/>
  <c r="B29" i="14"/>
  <c r="B38" i="14"/>
  <c r="C4" i="17"/>
  <c r="I59" i="16"/>
  <c r="E24" i="15"/>
  <c r="I58" i="16"/>
  <c r="E23" i="15"/>
  <c r="I10" i="16"/>
  <c r="C27" i="16"/>
  <c r="C28" i="16"/>
  <c r="C6" i="15"/>
  <c r="C7" i="15"/>
  <c r="D15" i="10"/>
  <c r="B28" i="14"/>
  <c r="B31" i="14"/>
  <c r="C10" i="15"/>
  <c r="C14" i="15"/>
  <c r="E35" i="10"/>
  <c r="D35" i="10"/>
  <c r="B24" i="14"/>
  <c r="C16" i="15"/>
  <c r="B10" i="15"/>
  <c r="B6" i="15"/>
  <c r="B7" i="15"/>
  <c r="B12" i="15"/>
  <c r="B14" i="15"/>
  <c r="B15" i="15"/>
  <c r="B16" i="15"/>
  <c r="B18" i="14"/>
  <c r="B37" i="14"/>
  <c r="B30" i="14"/>
  <c r="D37" i="15"/>
  <c r="B11" i="15"/>
  <c r="I13" i="16"/>
  <c r="I11" i="16"/>
  <c r="K11" i="16"/>
  <c r="G45" i="15"/>
  <c r="B8" i="15"/>
  <c r="C8" i="15"/>
  <c r="C17" i="15"/>
  <c r="B13" i="15"/>
  <c r="B17" i="15"/>
  <c r="I14" i="16"/>
  <c r="I15" i="16"/>
  <c r="C39" i="15"/>
  <c r="B41" i="15"/>
  <c r="G46" i="15"/>
  <c r="B44" i="15"/>
  <c r="G47" i="15"/>
  <c r="B45" i="15"/>
  <c r="C41" i="15"/>
  <c r="D8" i="17"/>
  <c r="D39" i="15"/>
  <c r="D13" i="17"/>
  <c r="J10" i="16"/>
  <c r="D7" i="15"/>
  <c r="D15" i="15"/>
  <c r="D9" i="15"/>
  <c r="D8" i="15"/>
  <c r="D16" i="15"/>
  <c r="D6" i="15"/>
  <c r="D12" i="15"/>
  <c r="D11" i="15"/>
  <c r="D10" i="15"/>
  <c r="D14" i="15"/>
  <c r="D56" i="15"/>
  <c r="C32" i="15"/>
  <c r="D13" i="15"/>
  <c r="I16" i="16"/>
  <c r="I17" i="16"/>
  <c r="J13" i="16"/>
  <c r="D17" i="15"/>
  <c r="K10" i="16"/>
  <c r="C53" i="17"/>
  <c r="D51" i="15"/>
  <c r="C43" i="15"/>
  <c r="C42" i="15"/>
  <c r="D41" i="15"/>
  <c r="J15" i="16"/>
  <c r="K15" i="16"/>
  <c r="D43" i="15"/>
  <c r="C46" i="15"/>
  <c r="K13" i="16"/>
  <c r="I18" i="16"/>
  <c r="B46" i="15"/>
  <c r="C28" i="17"/>
  <c r="C45" i="15"/>
  <c r="J14" i="16"/>
  <c r="D42" i="15"/>
  <c r="C44" i="15"/>
  <c r="D52" i="15"/>
  <c r="D53" i="15"/>
  <c r="J17" i="16"/>
  <c r="K17" i="16"/>
  <c r="D45" i="15"/>
  <c r="C47" i="15"/>
  <c r="C48" i="15"/>
  <c r="K14" i="16"/>
  <c r="J18" i="16"/>
  <c r="K18" i="16"/>
  <c r="I41" i="14"/>
  <c r="D46" i="15"/>
  <c r="B47" i="15"/>
  <c r="I25" i="16"/>
  <c r="D10" i="16"/>
  <c r="I76" i="16"/>
  <c r="D15" i="16"/>
  <c r="I67" i="16"/>
  <c r="D14" i="16"/>
  <c r="I56" i="16"/>
  <c r="D12" i="16"/>
  <c r="I57" i="16"/>
  <c r="D13" i="16"/>
  <c r="J16" i="16"/>
  <c r="K16" i="16"/>
  <c r="D44" i="15"/>
  <c r="I33" i="16"/>
  <c r="D11" i="16"/>
  <c r="C12" i="16"/>
  <c r="C23" i="15"/>
  <c r="C15" i="16"/>
  <c r="C26" i="15"/>
  <c r="C14" i="16"/>
  <c r="C25" i="15"/>
  <c r="C10" i="16"/>
  <c r="C21" i="15"/>
  <c r="H44" i="14"/>
  <c r="I44" i="14"/>
  <c r="H43" i="14"/>
  <c r="I43" i="14"/>
  <c r="I46" i="14"/>
  <c r="D47" i="15"/>
  <c r="B48" i="15"/>
  <c r="D48" i="15"/>
  <c r="C11" i="16"/>
  <c r="C22" i="15"/>
  <c r="C24" i="15"/>
  <c r="C13" i="16"/>
  <c r="B24" i="15"/>
  <c r="C27" i="15"/>
  <c r="B21" i="15"/>
  <c r="B25" i="15"/>
  <c r="B22" i="15"/>
  <c r="B23" i="15"/>
  <c r="B26" i="15"/>
  <c r="D54" i="15"/>
  <c r="D55" i="15"/>
  <c r="D57" i="15"/>
  <c r="C31" i="15"/>
  <c r="C33" i="15"/>
  <c r="B27" i="15"/>
</calcChain>
</file>

<file path=xl/comments1.xml><?xml version="1.0" encoding="utf-8"?>
<comments xmlns="http://schemas.openxmlformats.org/spreadsheetml/2006/main">
  <authors>
    <author>Jean-Philippe Bourgeois</author>
    <author>Bourgeois</author>
  </authors>
  <commentList>
    <comment ref="G41" authorId="0" shapeId="0">
      <text>
        <r>
          <rPr>
            <b/>
            <sz val="9"/>
            <color indexed="81"/>
            <rFont val="Calibri"/>
            <family val="2"/>
          </rPr>
          <t>Jean-Philippe Bourgeois:</t>
        </r>
        <r>
          <rPr>
            <sz val="9"/>
            <color indexed="81"/>
            <rFont val="Calibri"/>
            <family val="2"/>
          </rPr>
          <t xml:space="preserve">
because of the way the calculation is performed, we can't link the cell, and must use 13000. for the firs time
</t>
        </r>
      </text>
    </comment>
    <comment ref="G45" authorId="1" shapeId="0">
      <text>
        <r>
          <rPr>
            <b/>
            <sz val="9"/>
            <color indexed="81"/>
            <rFont val="Tahoma"/>
            <family val="2"/>
          </rPr>
          <t>Bourgeois:</t>
        </r>
        <r>
          <rPr>
            <sz val="9"/>
            <color indexed="81"/>
            <rFont val="Tahoma"/>
            <family val="2"/>
          </rPr>
          <t xml:space="preserve">
in first time calc, this is not used, because of a loop formation
</t>
        </r>
      </text>
    </comment>
  </commentList>
</comments>
</file>

<file path=xl/comments2.xml><?xml version="1.0" encoding="utf-8"?>
<comments xmlns="http://schemas.openxmlformats.org/spreadsheetml/2006/main">
  <authors>
    <author>Bourgeois</author>
  </authors>
  <commentList>
    <comment ref="K13" authorId="0" shapeId="0">
      <text>
        <r>
          <rPr>
            <b/>
            <sz val="9"/>
            <color indexed="81"/>
            <rFont val="Tahoma"/>
            <family val="2"/>
          </rPr>
          <t>Bourgeois:</t>
        </r>
        <r>
          <rPr>
            <sz val="9"/>
            <color indexed="81"/>
            <rFont val="Tahoma"/>
            <family val="2"/>
          </rPr>
          <t xml:space="preserve">
net income used in the CCB calculations</t>
        </r>
      </text>
    </comment>
    <comment ref="H20" authorId="0" shapeId="0">
      <text>
        <r>
          <rPr>
            <b/>
            <sz val="9"/>
            <color indexed="81"/>
            <rFont val="Tahoma"/>
            <family val="2"/>
          </rPr>
          <t>Bourgeois:</t>
        </r>
        <r>
          <rPr>
            <sz val="9"/>
            <color indexed="81"/>
            <rFont val="Tahoma"/>
            <family val="2"/>
          </rPr>
          <t xml:space="preserve">
based on http://www2.gnb.ca/content/gnb/en/departments/finance/taxes/child_tax_benefit.html</t>
        </r>
      </text>
    </comment>
    <comment ref="H27" authorId="0" shapeId="0">
      <text>
        <r>
          <rPr>
            <b/>
            <sz val="9"/>
            <color indexed="81"/>
            <rFont val="Tahoma"/>
            <family val="2"/>
          </rPr>
          <t>Bourgeois:</t>
        </r>
        <r>
          <rPr>
            <sz val="9"/>
            <color indexed="81"/>
            <rFont val="Tahoma"/>
            <family val="2"/>
          </rPr>
          <t xml:space="preserve">
based on http://www2.gnb.ca/content/gnb/en/departments/finance/taxes/child_tax_benefit.html</t>
        </r>
      </text>
    </comment>
    <comment ref="H29" authorId="0" shapeId="0">
      <text>
        <r>
          <rPr>
            <b/>
            <sz val="9"/>
            <color indexed="81"/>
            <rFont val="Tahoma"/>
            <family val="2"/>
          </rPr>
          <t>Bourgeois:</t>
        </r>
        <r>
          <rPr>
            <sz val="9"/>
            <color indexed="81"/>
            <rFont val="Tahoma"/>
            <family val="2"/>
          </rPr>
          <t xml:space="preserve">
employment income</t>
        </r>
      </text>
    </comment>
    <comment ref="H35" authorId="0" shapeId="0">
      <text>
        <r>
          <rPr>
            <b/>
            <sz val="9"/>
            <color indexed="81"/>
            <rFont val="Tahoma"/>
            <family val="2"/>
          </rPr>
          <t>Bourgeois:</t>
        </r>
        <r>
          <rPr>
            <sz val="9"/>
            <color indexed="81"/>
            <rFont val="Tahoma"/>
            <family val="2"/>
          </rPr>
          <t xml:space="preserve">
based on https://www.fin.gc.ca/n17/data/17-103_1-eng.asp
note : the calculation is hard to do within one single formula, so I used the 2 and 7 year old kids - if this changes, then the calculation needs to be ammended
</t>
        </r>
      </text>
    </comment>
    <comment ref="H61" authorId="0" shapeId="0">
      <text>
        <r>
          <rPr>
            <b/>
            <sz val="9"/>
            <color indexed="81"/>
            <rFont val="Tahoma"/>
            <family val="2"/>
          </rPr>
          <t>Bourgeois:</t>
        </r>
        <r>
          <rPr>
            <sz val="9"/>
            <color indexed="81"/>
            <rFont val="Tahoma"/>
            <family val="2"/>
          </rPr>
          <t xml:space="preserve">
based on https://www.canada.ca/content/dam/cra-arc/formspubs/pub/rc4210/rc4210-17e.pdf</t>
        </r>
      </text>
    </comment>
    <comment ref="H69" authorId="0" shapeId="0">
      <text>
        <r>
          <rPr>
            <b/>
            <sz val="9"/>
            <color indexed="81"/>
            <rFont val="Tahoma"/>
            <family val="2"/>
          </rPr>
          <t>Bourgeois:</t>
        </r>
        <r>
          <rPr>
            <sz val="9"/>
            <color indexed="81"/>
            <rFont val="Tahoma"/>
            <family val="2"/>
          </rPr>
          <t xml:space="preserve">
source https://www.canada.ca/en/revenue-agency/services/child-family-benefits/provincial-territorial-programs/information-new-brunswick-harmonized-sales-tax-credit.html#Q5
</t>
        </r>
      </text>
    </comment>
  </commentList>
</comments>
</file>

<file path=xl/comments3.xml><?xml version="1.0" encoding="utf-8"?>
<comments xmlns="http://schemas.openxmlformats.org/spreadsheetml/2006/main">
  <authors>
    <author>Bourgeois</author>
  </authors>
  <commentList>
    <comment ref="C7" authorId="0" shapeId="0">
      <text>
        <r>
          <rPr>
            <b/>
            <sz val="9"/>
            <color indexed="81"/>
            <rFont val="Tahoma"/>
            <family val="2"/>
          </rPr>
          <t>Bourgeois:</t>
        </r>
        <r>
          <rPr>
            <sz val="9"/>
            <color indexed="81"/>
            <rFont val="Tahoma"/>
            <family val="2"/>
          </rPr>
          <t xml:space="preserve">
source https://www.canada.ca/en/revenue-agency/services/tax/businesses/topics/payroll/payroll-deductions-contributions/employment-insurance-ei/ei-premium-rates-maximums.html
</t>
        </r>
      </text>
    </comment>
  </commentList>
</comments>
</file>

<file path=xl/sharedStrings.xml><?xml version="1.0" encoding="utf-8"?>
<sst xmlns="http://schemas.openxmlformats.org/spreadsheetml/2006/main" count="420" uniqueCount="300">
  <si>
    <t>Child Tax</t>
  </si>
  <si>
    <t>Item</t>
  </si>
  <si>
    <t>Monthly</t>
  </si>
  <si>
    <t>Annually</t>
  </si>
  <si>
    <t>One Child Under 6</t>
  </si>
  <si>
    <t>Food</t>
  </si>
  <si>
    <t>One Child Over 6</t>
  </si>
  <si>
    <t>Clothing and Footwear</t>
  </si>
  <si>
    <t>Shelter</t>
  </si>
  <si>
    <t>Utilities</t>
  </si>
  <si>
    <t>Transportation</t>
  </si>
  <si>
    <t>Child Care</t>
  </si>
  <si>
    <t>Health Care</t>
  </si>
  <si>
    <t>Contingency/Emergency</t>
  </si>
  <si>
    <t>Parent Education</t>
  </si>
  <si>
    <t>Household Expenses</t>
  </si>
  <si>
    <t>Social Inclusion</t>
  </si>
  <si>
    <t>Total</t>
  </si>
  <si>
    <t>Table II:  Non-Wage Income (Government Transfers)</t>
  </si>
  <si>
    <t>Income</t>
  </si>
  <si>
    <t>Federal Tuition Credits</t>
  </si>
  <si>
    <t>Tuition</t>
  </si>
  <si>
    <t>$120/mth</t>
  </si>
  <si>
    <t>$20/mth text</t>
  </si>
  <si>
    <t>Table III:  Family Income Less Family Expenses</t>
  </si>
  <si>
    <t>Provincial Tuition Credits</t>
  </si>
  <si>
    <t>Available Annual Income</t>
  </si>
  <si>
    <t>Annual Family Expenses</t>
  </si>
  <si>
    <t>$60/month</t>
  </si>
  <si>
    <t>Gap</t>
  </si>
  <si>
    <t>Table IV:  The Living Wage and Government Deductions and Taxes</t>
  </si>
  <si>
    <t>Column1</t>
  </si>
  <si>
    <t>Parent 1</t>
  </si>
  <si>
    <t>Parent 2</t>
  </si>
  <si>
    <t>Hours / Week</t>
  </si>
  <si>
    <t>Wage</t>
  </si>
  <si>
    <t>Employment Income</t>
  </si>
  <si>
    <t xml:space="preserve">Adjustments </t>
  </si>
  <si>
    <t>Net Income</t>
  </si>
  <si>
    <t>EI Premiums</t>
  </si>
  <si>
    <t>CPP Premiums</t>
  </si>
  <si>
    <t>Fed. Income Tax</t>
  </si>
  <si>
    <t>Prov. Income Tax</t>
  </si>
  <si>
    <t>Fed. Refundable Credits</t>
  </si>
  <si>
    <t>After Tax Income</t>
  </si>
  <si>
    <t>Monthly After Tax Inc.</t>
  </si>
  <si>
    <t>Table V:  Family Income less Gov't Deductions and Taxes plus Gov't Transfers</t>
  </si>
  <si>
    <t>Total Annual Income from Employment</t>
  </si>
  <si>
    <t xml:space="preserve">  - EI, CPP, Fed. and Prov. Taxes</t>
  </si>
  <si>
    <t>Equals Family Take Home Pay</t>
  </si>
  <si>
    <t>Equals Total Disposable Family Income</t>
  </si>
  <si>
    <t xml:space="preserve">  - Family Expenses</t>
  </si>
  <si>
    <t>Equals Income less expenses</t>
  </si>
  <si>
    <t>Survey or program details:</t>
  </si>
  <si>
    <t>Consumer Price Index - 2301</t>
  </si>
  <si>
    <t>Products and product groups (15)</t>
  </si>
  <si>
    <t>Component</t>
  </si>
  <si>
    <t>Food (17)</t>
  </si>
  <si>
    <t>Shelter (18)</t>
  </si>
  <si>
    <t>Clothing and footwear</t>
  </si>
  <si>
    <t>Gasoline</t>
  </si>
  <si>
    <t>Health and personal care</t>
  </si>
  <si>
    <t>Recreation, education and reading</t>
  </si>
  <si>
    <t>Alcoholic beverages and tobacco products</t>
  </si>
  <si>
    <t>All-items excluding food and energy (25)</t>
  </si>
  <si>
    <t>All-items excluding energy (25)</t>
  </si>
  <si>
    <t>Energy (25)</t>
  </si>
  <si>
    <t>Goods (27)</t>
  </si>
  <si>
    <t>Services (28)</t>
  </si>
  <si>
    <t>Footnotes:</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</si>
  <si>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</si>
  <si>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Food includes non-alcoholic beverages.</t>
  </si>
  <si>
    <t>Goods are physical or tangible commodities usually classified according to their life span into non-durable goods, semi-durable goods and durable goods. Non-durable goods are those goods that can be used up entirely in less than a year, assuming normal usage. For example, fresh food products, disposable cameras and gasoline are non-durable goods. Semi-durable goods are those goods that may last less than 12 months or greater than 12 months depending on the purpose to which they are put. For example, clothing, footwear and household textiles are semi-durable goods. Durable goods are those goods which may be used repeatedly or continuously over more than a year, assuming normal usage. For example, cars, audio and video equipment and furniture are durable goods.</t>
  </si>
  <si>
    <t>A service in the Consumer Price Index (CPI) is characterized by valuable work performed by an individual or organization on behalf of a consumer, for example, car tune-ups, haircuts and city public transportation. Transactions classified as a service may include the cost of goods by their nature. Examples include food in restaurant food services and materials in clothing repair services.</t>
  </si>
  <si>
    <t>Source:</t>
  </si>
  <si>
    <t>Statistics Canada. Table 326-0021 - Consumer Price Index (CPI), annual (2002=100 unless otherwise noted)</t>
  </si>
  <si>
    <t>Geography</t>
  </si>
  <si>
    <t>All-items</t>
  </si>
  <si>
    <t>Operation of passenger vehicles</t>
  </si>
  <si>
    <t>With the introduction of the 1992 basket in January 1995, emphasis was shifted from city data to provincial data. City all-items series were continued since many users had come to rely on this service, but the method of calculation was changed. Shelter indexes are calculated for each city. This recognizes the importance of shelter in the basket, the significant and persistent differences in price movements between cities, and the availability of local data. For the other seven major components, the movement of the provincial counterpart is used except in the cases of Montréal, Toronto, and Vancouver, where a sub-provincial counterpart is used. The major components are aggregated using the city's expenditure pattern to arrive at each city's all-items index.</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</si>
  <si>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</si>
  <si>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Survey of Labour and Income Dynamics - 3889</t>
  </si>
  <si>
    <t>Canadian Income Survey - 5200</t>
  </si>
  <si>
    <t>Total threshold</t>
  </si>
  <si>
    <t>Clothing</t>
  </si>
  <si>
    <t>Other expenses</t>
  </si>
  <si>
    <t>Source: Income Statistics Division, Statistics Canada</t>
  </si>
  <si>
    <t>The Market Basket Measure (MBM), developed by Employment and Social Development Canada, attempts to measure a standard of living that is a compromise between subsistence and social inclusion. It also reflects differences in living costs across regions. The MBM represents the cost of a basket that includes: a nutritious diet, clothing and footwear, shelter, transportation, and other necessary goods and services (such as personal care items or household supplies). The cost of the basket is compared to disposable income for each family to determine low income rates.</t>
  </si>
  <si>
    <t>Rural areas: includes communities with a population of less than 1,000 or with a population density less than 400 persons per square kilometer that are located outside Census metropolitan areas (CMAs) or Census agglomerations (CAs). Population under 30,000 : CAs below 30,000 and population centres below 10,000 persons. Population 30,000 to 99,999 : CAs between 30,000 and 99,999 persons. Population 100,000 to 499,999: CMAs between 100,000 and 499,999. Population 500,000 and over: CMAs with 500,000 or more persons. Specific city name refers to the population within the CMA or CA.</t>
  </si>
  <si>
    <t>Content Insurance</t>
  </si>
  <si>
    <t>Total Monthly</t>
  </si>
  <si>
    <t>Base Customer Charge</t>
  </si>
  <si>
    <t>Rate/KWh (1100)</t>
  </si>
  <si>
    <t>HST</t>
  </si>
  <si>
    <t>12monthly bus passes</t>
  </si>
  <si>
    <t>Total Annual</t>
  </si>
  <si>
    <t>Before/After School(7y/o)</t>
  </si>
  <si>
    <t>Summer &amp; March Break (7y/o)</t>
  </si>
  <si>
    <t>Child Care Subsidy*</t>
  </si>
  <si>
    <t>GST Credit</t>
  </si>
  <si>
    <t>Living Wage Calculation: Saint John 2017 (based on 2016 data)</t>
  </si>
  <si>
    <t xml:space="preserve"> </t>
  </si>
  <si>
    <t>New Brunswick</t>
  </si>
  <si>
    <t>Geography 3</t>
  </si>
  <si>
    <t>New Brunswick, rural</t>
  </si>
  <si>
    <t>New Brunswick, population under 30,000</t>
  </si>
  <si>
    <t>New Brunswick, population 30,000 to 99,999</t>
  </si>
  <si>
    <t>Fredericton, New Brunswick</t>
  </si>
  <si>
    <t>Saint John, New Brunswick</t>
  </si>
  <si>
    <t>Moncton, New Brunswick</t>
  </si>
  <si>
    <t>(accessed: June 20, 2017)</t>
  </si>
  <si>
    <t>Statistics Canada. Table 206-0093 - Market Basket Measure (MBM) thresholds (2011 base) for reference family, by Market Basket Measure region and component, in current dollars and 2015 constant dollars, annual</t>
  </si>
  <si>
    <t>NBCTB</t>
  </si>
  <si>
    <t>NBWIS</t>
  </si>
  <si>
    <t>Income Range</t>
  </si>
  <si>
    <t>Child Care Subsidy</t>
  </si>
  <si>
    <t xml:space="preserve"># of days </t>
  </si>
  <si>
    <t xml:space="preserve">daily rate </t>
  </si>
  <si>
    <t>FT Child rate</t>
  </si>
  <si>
    <t>PT Child rate</t>
  </si>
  <si>
    <t>annual subsidy</t>
  </si>
  <si>
    <t>Total Annual Subsidy</t>
  </si>
  <si>
    <t>PD, Dec Break, Nonstat Holidays, Snow Days</t>
  </si>
  <si>
    <t>NBHSTC</t>
  </si>
  <si>
    <t>Power</t>
  </si>
  <si>
    <t>Food Costs</t>
  </si>
  <si>
    <t>toddler (full time 23days/month)</t>
  </si>
  <si>
    <t>Table I: Family Expenses--Two Adults and Two Children (age 2 and 7)</t>
  </si>
  <si>
    <t xml:space="preserve">  + Transfers </t>
  </si>
  <si>
    <t>Family Employment Income Adj.</t>
  </si>
  <si>
    <t>school-age (before+after school 42wks, 5days/wk)</t>
  </si>
  <si>
    <t>+</t>
  </si>
  <si>
    <t>Textbook allowance per course</t>
  </si>
  <si>
    <t>Monthly cost for 2 cell phones (cheapest unlimited text &amp; talk plan)</t>
  </si>
  <si>
    <t>Monthly Internet service (cheapest available)</t>
  </si>
  <si>
    <t>Tuition per credit (NBCC) (1 course 2 credit per semester)</t>
  </si>
  <si>
    <t>Table 206-0093 Market Basket Measure (MBM) thresholds (2011 base) for reference family, by Market Basket Measure region and component, in current dollars and 2016 constant dollars, annual(1,2)</t>
  </si>
  <si>
    <t>Table 326-0021 Consumer Price Index (CPI), annual (2002=100)(2,9)</t>
  </si>
  <si>
    <t>Saint John, New Brunswick [13310]  (11)</t>
  </si>
  <si>
    <t>This table replaces CANSIM table 326-0002 which was archived with the release of April 2007 data.</t>
  </si>
  <si>
    <t>Part of the increase first recorded in the shelter index for Yellowknife for December 2004 inadvertently reflected rent increases that actually occurred earlier. As a result, the change in the shelter index was overstated in December 2004, and was understated in the previous two years. The shelter index series for Yellowknife has been corrected from December 2002. In addition, the Yellowknife All-items consumer price index (CPI) and some Yellowknife special aggregate index series have also changed. Data for Canada and all other provinces and territories were not affected.</t>
  </si>
  <si>
    <t>The special aggregate "energy" includes: "electricity", "natural gas", "fuel oil and other fuels", "gasoline", and "fuel, parts and accessories for recreational vehicles".</t>
  </si>
  <si>
    <t>(accessed: May 06, 2018)</t>
  </si>
  <si>
    <t>CPI adjusted</t>
  </si>
  <si>
    <t xml:space="preserve"> Family Expenses 2017</t>
  </si>
  <si>
    <t>Rented accommodation</t>
  </si>
  <si>
    <t>Rent (32)</t>
  </si>
  <si>
    <t>Revision of the methodology of the Rent component of the Consumer Price Index (CPI) beginning with the July 2009 CPI - http://www23.statcan.gc.ca/imdb-bmdi/document/2301_D41_T9_V1-eng.pdf.</t>
  </si>
  <si>
    <t>Toddler Full Time Centre-Based (2y/o)</t>
  </si>
  <si>
    <t>school-age (full day 7 weeks/year @ 5days/wk)</t>
  </si>
  <si>
    <t>MBM 2016 adj inflation, Saint John, annual</t>
  </si>
  <si>
    <t>MBM 2016, Clothing, Saint John</t>
  </si>
  <si>
    <t xml:space="preserve">Annual Cost, Adjusted using CPI </t>
  </si>
  <si>
    <t xml:space="preserve">Private Vehicle, MBM 2016 for rural NB, inflation adjusted </t>
  </si>
  <si>
    <t>Non-Public Health Care</t>
  </si>
  <si>
    <t>Basic Health Insurance-quoted monthly</t>
  </si>
  <si>
    <t>Total Annual Health Insurance</t>
  </si>
  <si>
    <t>Other Expenses</t>
  </si>
  <si>
    <t>Social Inclusion (50% of 'other')</t>
  </si>
  <si>
    <t>Household Expenses (50% of 'other")</t>
  </si>
  <si>
    <t>% of Total Annually</t>
  </si>
  <si>
    <t>No CCB at FNI</t>
  </si>
  <si>
    <t>CCB (Jan-June)</t>
  </si>
  <si>
    <t>CCB (July-December)</t>
  </si>
  <si>
    <t>Taxis back from college (ltd evening transit)</t>
  </si>
  <si>
    <t>Median Rent, CMHC, Oct 2017 (SJ South)</t>
  </si>
  <si>
    <t>Average Student Fees per year</t>
  </si>
  <si>
    <t>in this sheet, you can find all the programs values, treshold and rates used in the calculation of the programs.</t>
  </si>
  <si>
    <t>for some program, a division was made explicitely to differenciated between the calculation of the first 6 months and the last 6 months.</t>
  </si>
  <si>
    <t>the formula used to make the calculations are fixed, in the sense that if the calculation process changes, the formula will need to be changed. If the values change (example to adjust for inflation, then simply update the values in the table)</t>
  </si>
  <si>
    <t>If you received an error, you did something wrong. Either entered a bad rate, or the error will specify to what the problem is.</t>
  </si>
  <si>
    <t>Month</t>
  </si>
  <si>
    <t>Annual</t>
  </si>
  <si>
    <t>Notes</t>
  </si>
  <si>
    <t>CCB (jan-Jun)</t>
  </si>
  <si>
    <t>CCB (jul -dec)</t>
  </si>
  <si>
    <t>GST credit</t>
  </si>
  <si>
    <t>General Information</t>
  </si>
  <si>
    <t>number of kids under 18</t>
  </si>
  <si>
    <t>age of kid 1</t>
  </si>
  <si>
    <t>age of kid 2</t>
  </si>
  <si>
    <t xml:space="preserve">cells in </t>
  </si>
  <si>
    <t>need to be possibly updated</t>
  </si>
  <si>
    <t>don’t touch, unless the formula has changed</t>
  </si>
  <si>
    <t>don't touch, they are simply linked</t>
  </si>
  <si>
    <t>NBCTB calculation</t>
  </si>
  <si>
    <t>treshold</t>
  </si>
  <si>
    <t>annual payment for each child</t>
  </si>
  <si>
    <t>1 child rate</t>
  </si>
  <si>
    <t>2 child rate</t>
  </si>
  <si>
    <t>NBCTB annual payment</t>
  </si>
  <si>
    <t>Employment income</t>
    <phoneticPr fontId="1" type="noConversion"/>
  </si>
  <si>
    <t>Childcare expenses claimed</t>
    <phoneticPr fontId="1" type="noConversion"/>
  </si>
  <si>
    <t>Adjustments</t>
    <phoneticPr fontId="1" type="noConversion"/>
  </si>
  <si>
    <t>Net Income</t>
    <phoneticPr fontId="1" type="noConversion"/>
  </si>
  <si>
    <t>EI Premiums</t>
    <phoneticPr fontId="1" type="noConversion"/>
  </si>
  <si>
    <t>CPP Premiums</t>
    <phoneticPr fontId="1" type="noConversion"/>
  </si>
  <si>
    <t>Fed. Income Tax</t>
    <phoneticPr fontId="1" type="noConversion"/>
  </si>
  <si>
    <t>Prov. Income Tax</t>
    <phoneticPr fontId="1" type="noConversion"/>
  </si>
  <si>
    <t>After Tax Income</t>
    <phoneticPr fontId="1" type="noConversion"/>
  </si>
  <si>
    <t>this years income</t>
  </si>
  <si>
    <t>Table IIa:  Last Year's Family Income (For Government Transfers)</t>
  </si>
  <si>
    <t>NCWIS calculation</t>
  </si>
  <si>
    <t>annual payment per family</t>
  </si>
  <si>
    <t>rate on earned income</t>
  </si>
  <si>
    <t>earned income treshold</t>
  </si>
  <si>
    <t>rate on net income</t>
  </si>
  <si>
    <t>net income treshold</t>
  </si>
  <si>
    <t>NCWIS annual payment</t>
  </si>
  <si>
    <t xml:space="preserve">* this is simply used to link to table 4, as it calculates the first time. </t>
  </si>
  <si>
    <t>Childcare benefit Calculation (CCB)</t>
  </si>
  <si>
    <t>january-june</t>
  </si>
  <si>
    <t>1st treshold</t>
  </si>
  <si>
    <t>2nd treshold</t>
  </si>
  <si>
    <t>max child under 6</t>
  </si>
  <si>
    <t>max child 6 to 17</t>
  </si>
  <si>
    <t>july-dec</t>
  </si>
  <si>
    <r>
      <t xml:space="preserve">reduction rates </t>
    </r>
    <r>
      <rPr>
        <b/>
        <u/>
        <sz val="12"/>
        <color theme="1"/>
        <rFont val="Calibri"/>
        <family val="2"/>
        <scheme val="minor"/>
      </rPr>
      <t>between</t>
    </r>
    <r>
      <rPr>
        <u/>
        <sz val="11"/>
        <color theme="1"/>
        <rFont val="Calibri"/>
        <family val="2"/>
        <scheme val="minor"/>
      </rPr>
      <t xml:space="preserve"> AFNI</t>
    </r>
  </si>
  <si>
    <t>1 child family</t>
  </si>
  <si>
    <t>2 chidren family</t>
  </si>
  <si>
    <t>3 children family</t>
  </si>
  <si>
    <t>4+ children family</t>
  </si>
  <si>
    <r>
      <t xml:space="preserve">plus rates  AFNI </t>
    </r>
    <r>
      <rPr>
        <b/>
        <u/>
        <sz val="12"/>
        <color theme="1"/>
        <rFont val="Calibri"/>
        <family val="2"/>
        <scheme val="minor"/>
      </rPr>
      <t>over</t>
    </r>
  </si>
  <si>
    <r>
      <t xml:space="preserve">CCB </t>
    </r>
    <r>
      <rPr>
        <b/>
        <sz val="12"/>
        <color theme="1"/>
        <rFont val="Calibri"/>
        <family val="2"/>
        <scheme val="minor"/>
      </rPr>
      <t>6 months</t>
    </r>
    <r>
      <rPr>
        <sz val="11"/>
        <color theme="1"/>
        <rFont val="Calibri"/>
        <family val="2"/>
        <scheme val="minor"/>
      </rPr>
      <t xml:space="preserve"> (Jan-June)</t>
    </r>
  </si>
  <si>
    <t>*family specific</t>
  </si>
  <si>
    <r>
      <t xml:space="preserve">CCB </t>
    </r>
    <r>
      <rPr>
        <b/>
        <sz val="12"/>
        <color theme="1"/>
        <rFont val="Calibri"/>
        <family val="2"/>
        <scheme val="minor"/>
      </rPr>
      <t>6 months</t>
    </r>
    <r>
      <rPr>
        <sz val="11"/>
        <color theme="1"/>
        <rFont val="Calibri"/>
        <family val="2"/>
        <scheme val="minor"/>
      </rPr>
      <t xml:space="preserve"> (July-Dec)</t>
    </r>
  </si>
  <si>
    <t>no CCB at FNI (Jan-June)</t>
  </si>
  <si>
    <t>no CCB at FNI (July-Dec)</t>
  </si>
  <si>
    <t>basic credit</t>
  </si>
  <si>
    <t>credit for spouce</t>
  </si>
  <si>
    <t>credit for kids</t>
  </si>
  <si>
    <t>family net income treshold</t>
  </si>
  <si>
    <t>rate of net income difference</t>
  </si>
  <si>
    <t>annual credit</t>
  </si>
  <si>
    <t>single, no children : payment</t>
  </si>
  <si>
    <t>spouce, no children : payment</t>
  </si>
  <si>
    <t>single, with custody: payment +</t>
  </si>
  <si>
    <t>child &lt;19 age amount</t>
  </si>
  <si>
    <t>reduction rate</t>
  </si>
  <si>
    <t>NBHSTC annual payment</t>
  </si>
  <si>
    <t>*family specific calculation</t>
  </si>
  <si>
    <t>Column2</t>
  </si>
  <si>
    <t>it is just like the bc calculations</t>
  </si>
  <si>
    <t>again this felt more organic to simply create a few more tables which could easily be update on there own and then update table 4 on the main sheet automatically.</t>
  </si>
  <si>
    <t>values in bold are used</t>
  </si>
  <si>
    <t>wage</t>
  </si>
  <si>
    <t xml:space="preserve">Employment Insurance rate </t>
  </si>
  <si>
    <t>*these will change for the next few years</t>
  </si>
  <si>
    <t>Canadian Pension Plan</t>
  </si>
  <si>
    <t>CPP rate</t>
  </si>
  <si>
    <t>basic exemption</t>
  </si>
  <si>
    <t>Income tax credits</t>
  </si>
  <si>
    <t>Provincial</t>
  </si>
  <si>
    <t>Federal</t>
  </si>
  <si>
    <t>basic personal ammount</t>
  </si>
  <si>
    <t>spouce equivalence amount</t>
  </si>
  <si>
    <t>age amount</t>
  </si>
  <si>
    <t>disability amount</t>
  </si>
  <si>
    <t>medical expense rate</t>
  </si>
  <si>
    <t>non-refundable tax credit rate</t>
  </si>
  <si>
    <t>canada employment amount</t>
  </si>
  <si>
    <t>low income tax reduction</t>
  </si>
  <si>
    <t>treshold amount</t>
  </si>
  <si>
    <t>phase out rate</t>
  </si>
  <si>
    <t>max reduction</t>
  </si>
  <si>
    <t>Provincial income tax rates</t>
  </si>
  <si>
    <t>min range</t>
  </si>
  <si>
    <t>max range</t>
  </si>
  <si>
    <t>rate</t>
  </si>
  <si>
    <t>*income specific, if the income goes above this, it will be wrong</t>
  </si>
  <si>
    <t>Federal income tax rates</t>
  </si>
  <si>
    <t>federal working income credit</t>
  </si>
  <si>
    <t>base amount</t>
  </si>
  <si>
    <t>WITB rate</t>
  </si>
  <si>
    <t>maximum benefit</t>
  </si>
  <si>
    <t>income to zero</t>
  </si>
  <si>
    <t>base treshold</t>
  </si>
  <si>
    <t>rate for WITB reduction</t>
  </si>
  <si>
    <t>WITB</t>
  </si>
  <si>
    <t>*linked, don't youch</t>
  </si>
  <si>
    <t>CCP premiums</t>
  </si>
  <si>
    <t>EI premiums</t>
  </si>
  <si>
    <t xml:space="preserve">Employment Insurance </t>
  </si>
  <si>
    <t>Division of Income, Expenses, Tax Credits</t>
    <phoneticPr fontId="0" type="noConversion"/>
  </si>
  <si>
    <t>CC Exp.</t>
  </si>
  <si>
    <t>Child Fitness &amp; Arts Tax Cr.</t>
  </si>
  <si>
    <t>childcare tax credit calculation</t>
  </si>
  <si>
    <t>amount children under 6</t>
  </si>
  <si>
    <t>amount children over 6 and under 18</t>
  </si>
  <si>
    <t>childcate credit</t>
  </si>
  <si>
    <t>Med. Exp. Fed</t>
  </si>
  <si>
    <t>Med. Exp. Prov</t>
  </si>
  <si>
    <t>Transit credit (fed)</t>
  </si>
  <si>
    <t>low income tax deduction</t>
  </si>
  <si>
    <t>parent 2 claimed</t>
  </si>
  <si>
    <t>can only be claimed  1/2 , as the program is gone</t>
  </si>
  <si>
    <t>parent 2</t>
  </si>
  <si>
    <t>Total Monthly for Power</t>
  </si>
  <si>
    <t>75.4% of Food and Clothing adj for inflation</t>
  </si>
  <si>
    <t>Emergency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</si>
</sst>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0.0%"/>
    <numFmt numFmtId="166" formatCode="0.000"/>
    <numFmt numFmtId="167" formatCode="0.00000"/>
    <numFmt numFmtId="168" formatCode="&quot;$&quot;#,##0"/>
    <numFmt numFmtId="169" formatCode="0.0000"/>
  </numFmts>
  <fonts count="40"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name val="Verdana"/>
      <family val="2"/>
    </font>
    <font>
      <b/>
      <sz val="11"/>
      <color indexed="8"/>
      <name val="Calibri"/>
      <family val="2"/>
    </font>
    <font>
      <sz val="11"/>
      <name val="Calibri"/>
      <family val="2"/>
    </font>
    <font>
      <sz val="11"/>
      <color rgb="FF006100"/>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sz val="11"/>
      <name val="Calibri"/>
      <family val="2"/>
      <scheme val="minor"/>
    </font>
    <font>
      <b/>
      <sz val="11"/>
      <name val="Calibri"/>
      <family val="2"/>
    </font>
    <font>
      <b/>
      <sz val="11"/>
      <color theme="1"/>
      <name val="Calibri"/>
      <family val="2"/>
      <scheme val="minor"/>
    </font>
    <font>
      <u/>
      <sz val="11"/>
      <color theme="10"/>
      <name val="Calibri"/>
      <family val="2"/>
      <scheme val="minor"/>
    </font>
    <font>
      <u/>
      <sz val="11"/>
      <color theme="11"/>
      <name val="Calibri"/>
      <family val="2"/>
      <scheme val="minor"/>
    </font>
    <font>
      <b/>
      <sz val="16"/>
      <color indexed="54"/>
      <name val="Calibri"/>
      <family val="2"/>
    </font>
    <font>
      <sz val="10"/>
      <name val="Arial"/>
      <family val="2"/>
    </font>
    <font>
      <b/>
      <sz val="8"/>
      <name val="Arial"/>
      <family val="2"/>
    </font>
    <font>
      <sz val="8"/>
      <name val="Arial"/>
      <family val="2"/>
    </font>
    <font>
      <sz val="11"/>
      <color rgb="FF9C0006"/>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3"/>
      <color theme="1"/>
      <name val="Calibri"/>
      <family val="2"/>
      <scheme val="minor"/>
    </font>
    <font>
      <b/>
      <sz val="14"/>
      <color theme="1"/>
      <name val="Calibri"/>
      <family val="2"/>
      <scheme val="minor"/>
    </font>
    <font>
      <b/>
      <sz val="11"/>
      <color rgb="FF3F3F76"/>
      <name val="Calibri"/>
      <family val="2"/>
      <scheme val="minor"/>
    </font>
    <font>
      <b/>
      <sz val="10"/>
      <name val="Verdana"/>
      <family val="2"/>
    </font>
    <font>
      <b/>
      <sz val="9"/>
      <color indexed="81"/>
      <name val="Tahoma"/>
      <family val="2"/>
    </font>
    <font>
      <sz val="9"/>
      <color indexed="81"/>
      <name val="Tahoma"/>
      <family val="2"/>
    </font>
    <font>
      <u/>
      <sz val="10"/>
      <name val="Verdana"/>
      <family val="2"/>
    </font>
    <font>
      <u/>
      <sz val="11"/>
      <color theme="1"/>
      <name val="Calibri"/>
      <family val="2"/>
      <scheme val="minor"/>
    </font>
    <font>
      <b/>
      <u/>
      <sz val="12"/>
      <color theme="1"/>
      <name val="Calibri"/>
      <family val="2"/>
      <scheme val="minor"/>
    </font>
    <font>
      <b/>
      <sz val="12"/>
      <color theme="1"/>
      <name val="Calibri"/>
      <family val="2"/>
      <scheme val="minor"/>
    </font>
    <font>
      <sz val="12"/>
      <color rgb="FF9C6500"/>
      <name val="Calibri"/>
      <family val="2"/>
      <scheme val="minor"/>
    </font>
    <font>
      <sz val="9"/>
      <color indexed="81"/>
      <name val="Calibri"/>
      <family val="2"/>
    </font>
    <font>
      <b/>
      <sz val="9"/>
      <color indexed="81"/>
      <name val="Calibri"/>
      <family val="2"/>
    </font>
    <font>
      <b/>
      <sz val="14"/>
      <color rgb="FF3F3F76"/>
      <name val="Calibri"/>
      <family val="2"/>
      <scheme val="minor"/>
    </font>
    <font>
      <b/>
      <sz val="11"/>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EB9C"/>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bottom style="double">
        <color rgb="FFFF8001"/>
      </bottom>
      <diagonal/>
    </border>
    <border>
      <left/>
      <right style="thin">
        <color auto="1"/>
      </right>
      <top/>
      <bottom style="double">
        <color rgb="FFFF8001"/>
      </bottom>
      <diagonal/>
    </border>
    <border>
      <left/>
      <right style="medium">
        <color auto="1"/>
      </right>
      <top/>
      <bottom/>
      <diagonal/>
    </border>
    <border>
      <left style="thin">
        <color auto="1"/>
      </left>
      <right/>
      <top style="double">
        <color rgb="FFFF8001"/>
      </top>
      <bottom style="double">
        <color rgb="FFFF8001"/>
      </bottom>
      <diagonal/>
    </border>
    <border>
      <left/>
      <right style="thin">
        <color auto="1"/>
      </right>
      <top style="double">
        <color rgb="FFFF8001"/>
      </top>
      <bottom style="double">
        <color rgb="FFFF800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diagonal/>
    </border>
    <border>
      <left style="medium">
        <color auto="1"/>
      </left>
      <right/>
      <top style="thin">
        <color auto="1"/>
      </top>
      <bottom style="medium">
        <color auto="1"/>
      </bottom>
      <diagonal/>
    </border>
    <border>
      <left style="thin">
        <color rgb="FF7F7F7F"/>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thin">
        <color rgb="FF7F7F7F"/>
      </left>
      <right style="medium">
        <color auto="1"/>
      </right>
      <top style="thin">
        <color auto="1"/>
      </top>
      <bottom style="thin">
        <color rgb="FF7F7F7F"/>
      </bottom>
      <diagonal/>
    </border>
    <border>
      <left style="thin">
        <color rgb="FF7F7F7F"/>
      </left>
      <right style="medium">
        <color auto="1"/>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34">
    <xf numFmtId="0" fontId="0" fillId="0" borderId="0"/>
    <xf numFmtId="44" fontId="1" fillId="0" borderId="0" applyFont="0" applyFill="0" applyBorder="0" applyAlignment="0" applyProtection="0"/>
    <xf numFmtId="0" fontId="8" fillId="2"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5" borderId="0" applyNumberFormat="0" applyBorder="0" applyAlignment="0" applyProtection="0"/>
    <xf numFmtId="0" fontId="22" fillId="6" borderId="16" applyNumberFormat="0" applyAlignment="0" applyProtection="0"/>
    <xf numFmtId="0" fontId="23" fillId="7" borderId="16" applyNumberFormat="0" applyAlignment="0" applyProtection="0"/>
    <xf numFmtId="0" fontId="24" fillId="0" borderId="17" applyNumberFormat="0" applyFill="0" applyAlignment="0" applyProtection="0"/>
    <xf numFmtId="0" fontId="35" fillId="8" borderId="0" applyNumberFormat="0" applyBorder="0" applyAlignment="0" applyProtection="0"/>
  </cellStyleXfs>
  <cellXfs count="311">
    <xf numFmtId="0" fontId="0" fillId="0" borderId="0" xfId="0"/>
    <xf numFmtId="0" fontId="2" fillId="0" borderId="0" xfId="0" applyFont="1" applyFill="1"/>
    <xf numFmtId="2" fontId="2" fillId="0" borderId="0" xfId="0" applyNumberFormat="1" applyFont="1" applyFill="1"/>
    <xf numFmtId="2" fontId="3" fillId="0" borderId="0" xfId="0" applyNumberFormat="1" applyFont="1" applyFill="1"/>
    <xf numFmtId="0" fontId="3" fillId="0" borderId="0" xfId="0" applyFont="1" applyFill="1"/>
    <xf numFmtId="0" fontId="2"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right"/>
    </xf>
    <xf numFmtId="0" fontId="0" fillId="0" borderId="0" xfId="0" applyFill="1"/>
    <xf numFmtId="0" fontId="2" fillId="0" borderId="0" xfId="0" applyFont="1" applyFill="1" applyBorder="1" applyAlignment="1">
      <alignment horizontal="right"/>
    </xf>
    <xf numFmtId="164" fontId="2" fillId="0" borderId="1" xfId="0" applyNumberFormat="1" applyFont="1" applyFill="1" applyBorder="1" applyAlignment="1">
      <alignment horizontal="right" vertical="center"/>
    </xf>
    <xf numFmtId="0" fontId="2" fillId="0" borderId="0" xfId="0" applyFont="1" applyFill="1" applyAlignment="1">
      <alignment horizontal="left"/>
    </xf>
    <xf numFmtId="0" fontId="2" fillId="0" borderId="1" xfId="0" applyFont="1" applyFill="1" applyBorder="1" applyAlignment="1">
      <alignment horizontal="right" vertical="center"/>
    </xf>
    <xf numFmtId="166" fontId="2" fillId="0" borderId="0" xfId="0" applyNumberFormat="1" applyFont="1" applyFill="1" applyBorder="1" applyAlignment="1">
      <alignment horizontal="right"/>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166" fontId="2" fillId="0" borderId="0" xfId="0" applyNumberFormat="1" applyFont="1" applyFill="1" applyBorder="1" applyAlignment="1">
      <alignment horizontal="left"/>
    </xf>
    <xf numFmtId="0" fontId="2" fillId="0" borderId="0" xfId="0" applyFont="1" applyFill="1" applyAlignment="1">
      <alignment horizontal="center"/>
    </xf>
    <xf numFmtId="2" fontId="2" fillId="0" borderId="0" xfId="0" applyNumberFormat="1" applyFont="1" applyFill="1" applyBorder="1"/>
    <xf numFmtId="2" fontId="3" fillId="0" borderId="0" xfId="0" applyNumberFormat="1" applyFont="1" applyFill="1" applyBorder="1" applyAlignment="1">
      <alignment horizontal="center"/>
    </xf>
    <xf numFmtId="0" fontId="3" fillId="0" borderId="1" xfId="0" applyFont="1" applyFill="1" applyBorder="1" applyAlignment="1">
      <alignment horizontal="left"/>
    </xf>
    <xf numFmtId="0" fontId="3" fillId="0" borderId="0" xfId="0" applyFont="1" applyFill="1" applyBorder="1" applyAlignment="1">
      <alignment horizontal="left"/>
    </xf>
    <xf numFmtId="0" fontId="2" fillId="0" borderId="0" xfId="0" applyFont="1" applyFill="1" applyAlignment="1">
      <alignment horizontal="right"/>
    </xf>
    <xf numFmtId="0" fontId="2" fillId="0" borderId="0" xfId="0" applyFont="1" applyFill="1" applyBorder="1" applyAlignment="1">
      <alignment horizontal="center"/>
    </xf>
    <xf numFmtId="0" fontId="2" fillId="0" borderId="1" xfId="2" applyFont="1" applyFill="1" applyBorder="1" applyAlignment="1">
      <alignment horizontal="left"/>
    </xf>
    <xf numFmtId="0" fontId="2" fillId="0" borderId="3" xfId="0" applyFont="1" applyFill="1" applyBorder="1" applyAlignment="1">
      <alignment horizontal="left"/>
    </xf>
    <xf numFmtId="2" fontId="10" fillId="0" borderId="0" xfId="4" applyNumberFormat="1" applyFill="1" applyBorder="1" applyAlignment="1">
      <alignment horizontal="left"/>
    </xf>
    <xf numFmtId="0" fontId="3" fillId="0" borderId="1" xfId="0" applyFont="1" applyFill="1" applyBorder="1" applyAlignment="1">
      <alignment horizontal="center"/>
    </xf>
    <xf numFmtId="0" fontId="3" fillId="0" borderId="2" xfId="0" applyFont="1" applyFill="1" applyBorder="1" applyAlignment="1">
      <alignment horizontal="center"/>
    </xf>
    <xf numFmtId="164"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164" fontId="3" fillId="0" borderId="1" xfId="0" applyNumberFormat="1" applyFont="1" applyFill="1" applyBorder="1" applyAlignment="1">
      <alignment horizontal="right"/>
    </xf>
    <xf numFmtId="0" fontId="3" fillId="0" borderId="2" xfId="0" applyFont="1" applyFill="1" applyBorder="1" applyAlignment="1">
      <alignment horizontal="right"/>
    </xf>
    <xf numFmtId="0" fontId="3" fillId="0" borderId="3" xfId="0" applyFont="1" applyFill="1" applyBorder="1" applyAlignment="1">
      <alignment horizontal="right"/>
    </xf>
    <xf numFmtId="6" fontId="0" fillId="0" borderId="0" xfId="0" applyNumberFormat="1"/>
    <xf numFmtId="0" fontId="0" fillId="0" borderId="1" xfId="0" applyBorder="1"/>
    <xf numFmtId="164" fontId="0" fillId="0" borderId="0" xfId="0" applyNumberFormat="1"/>
    <xf numFmtId="44" fontId="0" fillId="0" borderId="0" xfId="1" applyFont="1"/>
    <xf numFmtId="0" fontId="14" fillId="0" borderId="1" xfId="0" applyFont="1" applyBorder="1"/>
    <xf numFmtId="164" fontId="0" fillId="0" borderId="1" xfId="0" applyNumberFormat="1" applyBorder="1"/>
    <xf numFmtId="0" fontId="4" fillId="0" borderId="0" xfId="0" applyFont="1" applyFill="1"/>
    <xf numFmtId="0" fontId="0" fillId="0" borderId="0" xfId="0"/>
    <xf numFmtId="0" fontId="14" fillId="0" borderId="0" xfId="0" applyFont="1"/>
    <xf numFmtId="0" fontId="3" fillId="0" borderId="3" xfId="0" applyFont="1" applyFill="1" applyBorder="1" applyAlignment="1">
      <alignment horizontal="center"/>
    </xf>
    <xf numFmtId="0" fontId="0" fillId="0" borderId="0" xfId="0" applyNumberFormat="1"/>
    <xf numFmtId="0" fontId="0" fillId="0" borderId="0" xfId="0" applyAlignment="1">
      <alignment wrapText="1"/>
    </xf>
    <xf numFmtId="165" fontId="0" fillId="0" borderId="0" xfId="5" applyNumberFormat="1" applyFont="1"/>
    <xf numFmtId="0" fontId="2" fillId="0" borderId="1" xfId="0" applyFont="1" applyFill="1" applyBorder="1" applyAlignment="1">
      <alignment horizontal="left"/>
    </xf>
    <xf numFmtId="0" fontId="12" fillId="0" borderId="0" xfId="0" applyFont="1" applyFill="1" applyAlignment="1">
      <alignment horizontal="left"/>
    </xf>
    <xf numFmtId="2" fontId="2" fillId="0" borderId="1" xfId="0" applyNumberFormat="1" applyFont="1" applyFill="1" applyBorder="1" applyAlignment="1">
      <alignment horizontal="left"/>
    </xf>
    <xf numFmtId="0" fontId="12" fillId="0" borderId="0" xfId="6" applyFont="1" applyFill="1" applyAlignment="1">
      <alignment horizontal="left"/>
    </xf>
    <xf numFmtId="0" fontId="12" fillId="0" borderId="1" xfId="0" applyFont="1" applyBorder="1" applyAlignment="1">
      <alignment horizontal="left"/>
    </xf>
    <xf numFmtId="0" fontId="0" fillId="0" borderId="0" xfId="0" applyAlignment="1">
      <alignment horizontal="left"/>
    </xf>
    <xf numFmtId="0" fontId="4" fillId="0" borderId="0" xfId="0" applyFont="1"/>
    <xf numFmtId="0" fontId="2" fillId="0" borderId="0" xfId="0" applyFont="1"/>
    <xf numFmtId="0" fontId="2" fillId="0" borderId="3" xfId="2" applyFont="1" applyFill="1" applyBorder="1"/>
    <xf numFmtId="0" fontId="2" fillId="0" borderId="3" xfId="2" applyFont="1" applyFill="1" applyBorder="1" applyAlignment="1">
      <alignment horizontal="left"/>
    </xf>
    <xf numFmtId="0" fontId="3" fillId="0" borderId="7" xfId="0" applyFont="1" applyFill="1" applyBorder="1"/>
    <xf numFmtId="2" fontId="3" fillId="0" borderId="8" xfId="0" applyNumberFormat="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xf numFmtId="0" fontId="3" fillId="0" borderId="7" xfId="0" applyFont="1" applyFill="1" applyBorder="1" applyAlignment="1">
      <alignment horizontal="left"/>
    </xf>
    <xf numFmtId="0" fontId="2" fillId="0" borderId="3" xfId="0" applyFont="1" applyFill="1" applyBorder="1"/>
    <xf numFmtId="0" fontId="5" fillId="0" borderId="3" xfId="0" applyFont="1" applyBorder="1"/>
    <xf numFmtId="0" fontId="3" fillId="0" borderId="3" xfId="2" applyFont="1" applyFill="1" applyBorder="1"/>
    <xf numFmtId="0" fontId="3" fillId="0" borderId="7" xfId="0" applyFont="1" applyFill="1" applyBorder="1" applyAlignment="1">
      <alignment horizontal="center"/>
    </xf>
    <xf numFmtId="0" fontId="2" fillId="0" borderId="10" xfId="0" applyFont="1" applyFill="1" applyBorder="1"/>
    <xf numFmtId="0" fontId="3" fillId="0" borderId="2" xfId="2" applyFont="1" applyFill="1" applyBorder="1" applyAlignment="1">
      <alignment horizontal="left"/>
    </xf>
    <xf numFmtId="0" fontId="2" fillId="0" borderId="2" xfId="0" applyFont="1" applyFill="1" applyBorder="1" applyAlignment="1">
      <alignment horizontal="left"/>
    </xf>
    <xf numFmtId="0" fontId="10" fillId="0" borderId="0" xfId="4" applyFill="1" applyBorder="1" applyAlignment="1">
      <alignment horizontal="left"/>
    </xf>
    <xf numFmtId="0" fontId="3" fillId="0" borderId="2" xfId="0" applyFont="1" applyFill="1" applyBorder="1" applyAlignment="1">
      <alignment horizontal="left"/>
    </xf>
    <xf numFmtId="164" fontId="14" fillId="0" borderId="1" xfId="1" applyNumberFormat="1" applyFont="1" applyBorder="1"/>
    <xf numFmtId="164" fontId="0" fillId="0" borderId="1" xfId="1" applyNumberFormat="1" applyFont="1" applyBorder="1"/>
    <xf numFmtId="0" fontId="14" fillId="0" borderId="0" xfId="0" applyFont="1" applyAlignment="1">
      <alignment wrapText="1"/>
    </xf>
    <xf numFmtId="0" fontId="14" fillId="0" borderId="0" xfId="0" applyFont="1" applyFill="1"/>
    <xf numFmtId="164" fontId="2" fillId="0" borderId="1" xfId="0" applyNumberFormat="1" applyFont="1" applyFill="1" applyBorder="1" applyAlignment="1">
      <alignment horizontal="right"/>
    </xf>
    <xf numFmtId="164" fontId="7" fillId="0" borderId="1" xfId="0" applyNumberFormat="1" applyFont="1" applyFill="1" applyBorder="1" applyAlignment="1">
      <alignment horizontal="right" vertical="center"/>
    </xf>
    <xf numFmtId="164" fontId="13" fillId="0" borderId="1" xfId="0" applyNumberFormat="1" applyFont="1" applyFill="1" applyBorder="1" applyAlignment="1">
      <alignment horizontal="right" vertical="center"/>
    </xf>
    <xf numFmtId="164" fontId="2" fillId="0" borderId="1" xfId="1" applyNumberFormat="1" applyFont="1" applyFill="1" applyBorder="1" applyAlignment="1">
      <alignment horizontal="right" vertical="center"/>
    </xf>
    <xf numFmtId="164" fontId="2" fillId="0" borderId="1" xfId="2" applyNumberFormat="1" applyFont="1" applyFill="1" applyBorder="1" applyAlignment="1">
      <alignment horizontal="right" vertical="center"/>
    </xf>
    <xf numFmtId="17" fontId="0" fillId="0" borderId="0" xfId="0" applyNumberFormat="1" applyFill="1"/>
    <xf numFmtId="164" fontId="2" fillId="0" borderId="0" xfId="0" applyNumberFormat="1" applyFont="1" applyFill="1" applyBorder="1" applyAlignment="1">
      <alignment horizontal="right" vertical="center"/>
    </xf>
    <xf numFmtId="164" fontId="3" fillId="0" borderId="3" xfId="0" applyNumberFormat="1" applyFont="1" applyFill="1" applyBorder="1" applyAlignment="1">
      <alignment horizontal="right" vertical="center"/>
    </xf>
    <xf numFmtId="164" fontId="12" fillId="0" borderId="0" xfId="0" applyNumberFormat="1" applyFont="1" applyFill="1" applyAlignment="1">
      <alignment horizontal="right" vertical="center"/>
    </xf>
    <xf numFmtId="164" fontId="3" fillId="0" borderId="0" xfId="0" applyNumberFormat="1" applyFont="1" applyFill="1" applyBorder="1" applyAlignment="1">
      <alignment horizontal="right" vertical="center"/>
    </xf>
    <xf numFmtId="164" fontId="2" fillId="0" borderId="0" xfId="0" applyNumberFormat="1" applyFont="1" applyFill="1" applyAlignment="1">
      <alignment horizontal="right" vertical="center"/>
    </xf>
    <xf numFmtId="164" fontId="0" fillId="0" borderId="0" xfId="0" applyNumberFormat="1" applyAlignment="1">
      <alignment horizontal="right" vertical="center"/>
    </xf>
    <xf numFmtId="164" fontId="3" fillId="0" borderId="3" xfId="2" applyNumberFormat="1" applyFont="1" applyFill="1" applyBorder="1" applyAlignment="1">
      <alignment horizontal="right" vertical="center"/>
    </xf>
    <xf numFmtId="164" fontId="5" fillId="0" borderId="1" xfId="0" applyNumberFormat="1" applyFont="1" applyBorder="1" applyAlignment="1">
      <alignment horizontal="right"/>
    </xf>
    <xf numFmtId="164" fontId="2" fillId="0" borderId="2" xfId="0" applyNumberFormat="1" applyFont="1" applyFill="1" applyBorder="1" applyAlignment="1">
      <alignment horizontal="right"/>
    </xf>
    <xf numFmtId="164" fontId="5" fillId="0" borderId="2" xfId="0" applyNumberFormat="1" applyFont="1" applyBorder="1" applyAlignment="1">
      <alignment horizontal="right"/>
    </xf>
    <xf numFmtId="164" fontId="2" fillId="0" borderId="0" xfId="1" applyNumberFormat="1" applyFont="1" applyFill="1" applyBorder="1" applyAlignment="1">
      <alignment horizontal="center"/>
    </xf>
    <xf numFmtId="0" fontId="0" fillId="0" borderId="0" xfId="0" applyFont="1" applyAlignment="1">
      <alignment wrapText="1"/>
    </xf>
    <xf numFmtId="0" fontId="0" fillId="0" borderId="0" xfId="0" applyBorder="1"/>
    <xf numFmtId="1" fontId="0" fillId="0" borderId="1" xfId="0" applyNumberFormat="1" applyBorder="1"/>
    <xf numFmtId="164" fontId="0" fillId="0" borderId="0" xfId="0" applyNumberFormat="1" applyBorder="1"/>
    <xf numFmtId="0" fontId="14" fillId="0" borderId="0" xfId="0" applyFont="1" applyBorder="1"/>
    <xf numFmtId="0" fontId="3" fillId="0" borderId="0" xfId="0" applyFont="1" applyFill="1" applyAlignment="1"/>
    <xf numFmtId="6" fontId="0" fillId="0" borderId="12" xfId="0" applyNumberFormat="1" applyBorder="1" applyAlignment="1">
      <alignment wrapText="1"/>
    </xf>
    <xf numFmtId="6" fontId="0" fillId="0" borderId="0" xfId="0" applyNumberFormat="1" applyBorder="1" applyAlignment="1">
      <alignment wrapText="1"/>
    </xf>
    <xf numFmtId="166" fontId="0" fillId="0" borderId="0" xfId="0" applyNumberFormat="1" applyFill="1" applyAlignment="1">
      <alignment horizontal="right" vertical="center"/>
    </xf>
    <xf numFmtId="6" fontId="0" fillId="0" borderId="0" xfId="0" applyNumberFormat="1" applyBorder="1"/>
    <xf numFmtId="164" fontId="0" fillId="0" borderId="0" xfId="1" applyNumberFormat="1" applyFont="1" applyBorder="1" applyAlignment="1">
      <alignment horizontal="right"/>
    </xf>
    <xf numFmtId="166" fontId="0" fillId="0" borderId="0" xfId="0" applyNumberFormat="1"/>
    <xf numFmtId="167" fontId="0" fillId="0" borderId="0" xfId="0" applyNumberFormat="1"/>
    <xf numFmtId="164" fontId="14" fillId="0" borderId="0" xfId="0" applyNumberFormat="1" applyFont="1" applyAlignment="1">
      <alignment horizontal="left"/>
    </xf>
    <xf numFmtId="0" fontId="14" fillId="0" borderId="0" xfId="0" applyFont="1" applyAlignment="1">
      <alignment horizontal="left"/>
    </xf>
    <xf numFmtId="2" fontId="0" fillId="0" borderId="0" xfId="0" applyNumberFormat="1"/>
    <xf numFmtId="0" fontId="0" fillId="0" borderId="0" xfId="0" applyFill="1" applyBorder="1" applyAlignment="1">
      <alignment horizontal="right"/>
    </xf>
    <xf numFmtId="167" fontId="0" fillId="0" borderId="0" xfId="0" applyNumberFormat="1" applyAlignment="1">
      <alignment horizontal="left" vertical="center"/>
    </xf>
    <xf numFmtId="164" fontId="0" fillId="0" borderId="0" xfId="0" applyNumberFormat="1" applyAlignment="1">
      <alignment horizontal="right"/>
    </xf>
    <xf numFmtId="0" fontId="2" fillId="0" borderId="3" xfId="0" applyFont="1" applyFill="1" applyBorder="1" applyAlignment="1">
      <alignment horizontal="right"/>
    </xf>
    <xf numFmtId="0" fontId="3" fillId="0" borderId="2" xfId="0" applyFont="1" applyFill="1" applyBorder="1" applyAlignment="1">
      <alignment horizontal="left"/>
    </xf>
    <xf numFmtId="6" fontId="0" fillId="0" borderId="12" xfId="0" applyNumberFormat="1" applyFill="1" applyBorder="1" applyAlignment="1">
      <alignment wrapText="1"/>
    </xf>
    <xf numFmtId="6" fontId="0" fillId="0" borderId="0" xfId="0" applyNumberFormat="1" applyFill="1" applyBorder="1" applyAlignment="1">
      <alignment wrapText="1"/>
    </xf>
    <xf numFmtId="0" fontId="0" fillId="0" borderId="0" xfId="0" applyBorder="1" applyAlignment="1">
      <alignment horizontal="left"/>
    </xf>
    <xf numFmtId="164" fontId="0" fillId="0" borderId="0" xfId="0" applyNumberFormat="1" applyBorder="1" applyAlignment="1">
      <alignment horizontal="right" vertical="center"/>
    </xf>
    <xf numFmtId="0" fontId="2" fillId="0" borderId="0" xfId="0" applyFont="1" applyFill="1" applyBorder="1" applyAlignment="1">
      <alignment horizontal="left"/>
    </xf>
    <xf numFmtId="168" fontId="0" fillId="0" borderId="11" xfId="0" applyNumberFormat="1" applyBorder="1"/>
    <xf numFmtId="168" fontId="0" fillId="0" borderId="13" xfId="0" applyNumberFormat="1" applyBorder="1"/>
    <xf numFmtId="6" fontId="0" fillId="0" borderId="9" xfId="0" applyNumberFormat="1" applyFill="1" applyBorder="1" applyAlignment="1">
      <alignment wrapText="1"/>
    </xf>
    <xf numFmtId="164" fontId="2" fillId="0" borderId="1" xfId="0" applyNumberFormat="1" applyFont="1" applyFill="1" applyBorder="1" applyAlignment="1">
      <alignment horizontal="left" vertical="center"/>
    </xf>
    <xf numFmtId="164" fontId="3" fillId="0" borderId="1" xfId="0" applyNumberFormat="1" applyFont="1" applyFill="1" applyBorder="1" applyAlignment="1">
      <alignment horizontal="left" vertical="center"/>
    </xf>
    <xf numFmtId="0" fontId="14" fillId="0" borderId="13" xfId="0" applyFont="1" applyBorder="1" applyAlignment="1">
      <alignment horizontal="left"/>
    </xf>
    <xf numFmtId="0" fontId="14" fillId="0" borderId="10" xfId="0" applyFont="1" applyBorder="1" applyAlignment="1">
      <alignment horizontal="left"/>
    </xf>
    <xf numFmtId="164" fontId="0" fillId="0" borderId="13" xfId="0" applyNumberFormat="1" applyBorder="1" applyAlignment="1">
      <alignment horizontal="right"/>
    </xf>
    <xf numFmtId="164" fontId="0" fillId="0" borderId="10" xfId="0" applyNumberFormat="1" applyBorder="1" applyAlignment="1">
      <alignment horizontal="right"/>
    </xf>
    <xf numFmtId="8" fontId="0" fillId="0" borderId="0" xfId="0" applyNumberFormat="1" applyBorder="1" applyAlignment="1">
      <alignment horizontal="right" wrapText="1"/>
    </xf>
    <xf numFmtId="8" fontId="0" fillId="0" borderId="14" xfId="0" applyNumberFormat="1" applyBorder="1" applyAlignment="1">
      <alignment horizontal="right" wrapText="1"/>
    </xf>
    <xf numFmtId="8" fontId="0" fillId="0" borderId="0" xfId="0" applyNumberFormat="1" applyFill="1" applyBorder="1" applyAlignment="1">
      <alignment horizontal="right" wrapText="1"/>
    </xf>
    <xf numFmtId="8" fontId="0" fillId="0" borderId="14" xfId="0" applyNumberFormat="1" applyFill="1" applyBorder="1" applyAlignment="1">
      <alignment horizontal="right" wrapText="1"/>
    </xf>
    <xf numFmtId="8" fontId="0" fillId="0" borderId="15" xfId="0" applyNumberFormat="1" applyFill="1" applyBorder="1" applyAlignment="1">
      <alignment horizontal="right" wrapText="1"/>
    </xf>
    <xf numFmtId="8" fontId="0" fillId="0" borderId="7" xfId="0" applyNumberFormat="1" applyFill="1" applyBorder="1" applyAlignment="1">
      <alignment horizontal="right" wrapText="1"/>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xf>
    <xf numFmtId="164" fontId="0" fillId="0" borderId="0" xfId="1" applyNumberFormat="1" applyFont="1" applyFill="1" applyBorder="1"/>
    <xf numFmtId="1" fontId="0" fillId="0" borderId="0" xfId="0" applyNumberFormat="1" applyBorder="1"/>
    <xf numFmtId="0" fontId="14" fillId="0" borderId="0" xfId="0" applyFont="1" applyBorder="1" applyAlignment="1"/>
    <xf numFmtId="0" fontId="0" fillId="0" borderId="0" xfId="0" applyBorder="1" applyAlignment="1"/>
    <xf numFmtId="1" fontId="0" fillId="0" borderId="0" xfId="0" applyNumberFormat="1" applyBorder="1" applyAlignment="1"/>
    <xf numFmtId="164" fontId="0" fillId="0" borderId="0" xfId="0" applyNumberFormat="1" applyBorder="1" applyAlignment="1"/>
    <xf numFmtId="0" fontId="0" fillId="0" borderId="0" xfId="0" applyAlignment="1"/>
    <xf numFmtId="0" fontId="0" fillId="0" borderId="12" xfId="0" applyBorder="1" applyAlignment="1"/>
    <xf numFmtId="0" fontId="0" fillId="0" borderId="15" xfId="0" applyBorder="1" applyAlignment="1">
      <alignment horizontal="center"/>
    </xf>
    <xf numFmtId="0" fontId="2" fillId="0" borderId="2" xfId="0" applyFont="1" applyFill="1" applyBorder="1" applyAlignment="1">
      <alignment horizontal="left"/>
    </xf>
    <xf numFmtId="164" fontId="14" fillId="0" borderId="1" xfId="1" applyNumberFormat="1" applyFont="1" applyBorder="1" applyAlignment="1">
      <alignment horizontal="right" vertical="center"/>
    </xf>
    <xf numFmtId="0" fontId="14" fillId="0" borderId="2" xfId="0" applyFont="1" applyBorder="1" applyAlignment="1">
      <alignment horizontal="center"/>
    </xf>
    <xf numFmtId="0" fontId="14" fillId="0" borderId="3" xfId="0" applyFont="1" applyBorder="1" applyAlignment="1">
      <alignment horizontal="center"/>
    </xf>
    <xf numFmtId="169" fontId="0" fillId="0" borderId="0" xfId="5" applyNumberFormat="1" applyFont="1"/>
    <xf numFmtId="44" fontId="0" fillId="4" borderId="0" xfId="1" applyFont="1" applyFill="1"/>
    <xf numFmtId="10" fontId="0" fillId="0" borderId="0" xfId="5" applyNumberFormat="1" applyFont="1"/>
    <xf numFmtId="0" fontId="12" fillId="0" borderId="1" xfId="6" applyFont="1" applyFill="1" applyBorder="1" applyAlignment="1">
      <alignment horizontal="left"/>
    </xf>
    <xf numFmtId="164" fontId="0" fillId="0" borderId="1" xfId="0" applyNumberFormat="1" applyBorder="1" applyAlignment="1">
      <alignment horizontal="right" vertical="center"/>
    </xf>
    <xf numFmtId="44" fontId="3" fillId="0" borderId="3" xfId="0" applyNumberFormat="1" applyFont="1" applyFill="1" applyBorder="1" applyAlignment="1">
      <alignment horizontal="left"/>
    </xf>
    <xf numFmtId="9" fontId="2" fillId="0" borderId="2" xfId="5" applyFont="1" applyFill="1" applyBorder="1" applyAlignment="1">
      <alignment horizontal="center"/>
    </xf>
    <xf numFmtId="9" fontId="3" fillId="0" borderId="11" xfId="5" applyNumberFormat="1" applyFont="1" applyFill="1" applyBorder="1" applyAlignment="1">
      <alignment horizontal="center"/>
    </xf>
    <xf numFmtId="0" fontId="19" fillId="0" borderId="1" xfId="0" applyFont="1" applyBorder="1" applyAlignment="1">
      <alignment horizontal="left"/>
    </xf>
    <xf numFmtId="0" fontId="3" fillId="0" borderId="15" xfId="0" applyFont="1" applyFill="1" applyBorder="1" applyAlignment="1">
      <alignment horizontal="center"/>
    </xf>
    <xf numFmtId="164" fontId="12" fillId="0" borderId="1" xfId="0" applyNumberFormat="1" applyFont="1" applyFill="1" applyBorder="1" applyAlignment="1">
      <alignment horizontal="right" vertical="center"/>
    </xf>
    <xf numFmtId="0" fontId="2" fillId="0" borderId="1" xfId="0" applyFont="1" applyFill="1" applyBorder="1" applyAlignment="1">
      <alignment horizontal="left" wrapText="1"/>
    </xf>
    <xf numFmtId="0" fontId="5" fillId="3" borderId="1" xfId="0" applyFont="1" applyFill="1" applyBorder="1" applyAlignment="1">
      <alignment wrapText="1"/>
    </xf>
    <xf numFmtId="0" fontId="2" fillId="0" borderId="1" xfId="2" applyFont="1" applyFill="1" applyBorder="1"/>
    <xf numFmtId="0" fontId="18" fillId="0" borderId="1" xfId="2" applyFont="1" applyFill="1" applyBorder="1"/>
    <xf numFmtId="0" fontId="3" fillId="0" borderId="1" xfId="0" applyFont="1" applyFill="1" applyBorder="1"/>
    <xf numFmtId="0" fontId="0" fillId="0" borderId="15" xfId="0" applyBorder="1"/>
    <xf numFmtId="2" fontId="25" fillId="0" borderId="0" xfId="4" applyNumberFormat="1" applyFont="1" applyFill="1" applyBorder="1" applyAlignment="1">
      <alignment horizontal="left"/>
    </xf>
    <xf numFmtId="0" fontId="14" fillId="0" borderId="18" xfId="0" applyFont="1" applyBorder="1"/>
    <xf numFmtId="0" fontId="14" fillId="0" borderId="19" xfId="0" applyFont="1" applyBorder="1"/>
    <xf numFmtId="0" fontId="14" fillId="0" borderId="20" xfId="0" applyFont="1" applyBorder="1"/>
    <xf numFmtId="0" fontId="0" fillId="0" borderId="21" xfId="0" applyBorder="1"/>
    <xf numFmtId="4" fontId="24" fillId="7" borderId="22" xfId="32" applyNumberFormat="1" applyFill="1" applyBorder="1"/>
    <xf numFmtId="4" fontId="24" fillId="7" borderId="23" xfId="32" applyNumberFormat="1" applyFill="1" applyBorder="1"/>
    <xf numFmtId="0" fontId="0" fillId="0" borderId="24" xfId="0" applyBorder="1"/>
    <xf numFmtId="4" fontId="24" fillId="0" borderId="25" xfId="32" applyNumberFormat="1" applyBorder="1"/>
    <xf numFmtId="4" fontId="24" fillId="0" borderId="26" xfId="32" applyNumberFormat="1" applyBorder="1"/>
    <xf numFmtId="4" fontId="24" fillId="0" borderId="22" xfId="32" applyNumberFormat="1" applyBorder="1"/>
    <xf numFmtId="4" fontId="24" fillId="0" borderId="23" xfId="32" applyNumberFormat="1" applyBorder="1"/>
    <xf numFmtId="4" fontId="0" fillId="0" borderId="12" xfId="0" applyNumberFormat="1" applyBorder="1"/>
    <xf numFmtId="4" fontId="0" fillId="0" borderId="14" xfId="0" applyNumberFormat="1" applyBorder="1"/>
    <xf numFmtId="0" fontId="0" fillId="0" borderId="27" xfId="0" applyBorder="1"/>
    <xf numFmtId="0" fontId="0" fillId="0" borderId="28" xfId="0" applyBorder="1"/>
    <xf numFmtId="0" fontId="0" fillId="0" borderId="29" xfId="0" applyBorder="1"/>
    <xf numFmtId="0" fontId="23" fillId="7" borderId="24" xfId="31" applyBorder="1"/>
    <xf numFmtId="0" fontId="22" fillId="6" borderId="24" xfId="30" applyBorder="1"/>
    <xf numFmtId="0" fontId="14" fillId="0" borderId="21" xfId="0" applyFont="1" applyBorder="1"/>
    <xf numFmtId="0" fontId="27" fillId="6" borderId="24" xfId="30" applyFont="1" applyBorder="1"/>
    <xf numFmtId="0" fontId="23" fillId="7" borderId="24" xfId="31" applyFont="1" applyBorder="1"/>
    <xf numFmtId="0" fontId="14" fillId="0" borderId="27" xfId="0" applyFont="1" applyBorder="1"/>
    <xf numFmtId="0" fontId="23" fillId="0" borderId="29" xfId="32" applyFont="1" applyBorder="1"/>
    <xf numFmtId="164" fontId="24" fillId="0" borderId="17" xfId="32" applyNumberFormat="1" applyFill="1" applyAlignment="1">
      <alignment horizontal="right"/>
    </xf>
    <xf numFmtId="164" fontId="23" fillId="7" borderId="16" xfId="31" applyNumberFormat="1" applyAlignment="1">
      <alignment horizontal="right"/>
    </xf>
    <xf numFmtId="0" fontId="5" fillId="0" borderId="21" xfId="0" applyFont="1" applyFill="1" applyBorder="1"/>
    <xf numFmtId="0" fontId="22" fillId="6" borderId="30" xfId="30" applyBorder="1"/>
    <xf numFmtId="10" fontId="22" fillId="6" borderId="30" xfId="30" applyNumberFormat="1" applyBorder="1"/>
    <xf numFmtId="9" fontId="22" fillId="6" borderId="31" xfId="30" applyNumberFormat="1" applyBorder="1"/>
    <xf numFmtId="0" fontId="5" fillId="0" borderId="32" xfId="0" applyFont="1" applyFill="1" applyBorder="1"/>
    <xf numFmtId="0" fontId="23" fillId="7" borderId="33" xfId="31" applyBorder="1"/>
    <xf numFmtId="0" fontId="3" fillId="0" borderId="18" xfId="0" applyFont="1" applyBorder="1"/>
    <xf numFmtId="0" fontId="3" fillId="0" borderId="19" xfId="0" applyFont="1" applyBorder="1" applyAlignment="1">
      <alignment horizontal="center"/>
    </xf>
    <xf numFmtId="0" fontId="3" fillId="0" borderId="20" xfId="0" applyFont="1" applyBorder="1" applyAlignment="1">
      <alignment horizontal="center"/>
    </xf>
    <xf numFmtId="0" fontId="5" fillId="0" borderId="21" xfId="0" applyFont="1" applyBorder="1"/>
    <xf numFmtId="4" fontId="23" fillId="7" borderId="4" xfId="31" applyNumberFormat="1" applyBorder="1"/>
    <xf numFmtId="0" fontId="5" fillId="0" borderId="32" xfId="0" applyFont="1" applyBorder="1"/>
    <xf numFmtId="4" fontId="23" fillId="7" borderId="34" xfId="31" applyNumberFormat="1" applyBorder="1"/>
    <xf numFmtId="0" fontId="23" fillId="7" borderId="35" xfId="31" applyBorder="1"/>
    <xf numFmtId="0" fontId="24" fillId="0" borderId="17" xfId="32"/>
    <xf numFmtId="0" fontId="24" fillId="0" borderId="0" xfId="32" applyBorder="1"/>
    <xf numFmtId="0" fontId="5" fillId="0" borderId="2" xfId="0" applyFont="1" applyBorder="1"/>
    <xf numFmtId="4" fontId="23" fillId="7" borderId="3" xfId="31" applyNumberFormat="1" applyBorder="1"/>
    <xf numFmtId="9" fontId="22" fillId="6" borderId="30" xfId="30" applyNumberFormat="1" applyBorder="1"/>
    <xf numFmtId="0" fontId="22" fillId="6" borderId="31" xfId="30" applyBorder="1"/>
    <xf numFmtId="0" fontId="0" fillId="4" borderId="0" xfId="0" applyFill="1"/>
    <xf numFmtId="0" fontId="31" fillId="0" borderId="21" xfId="0" applyFont="1" applyFill="1" applyBorder="1"/>
    <xf numFmtId="0" fontId="5" fillId="0" borderId="21" xfId="0" applyFont="1" applyFill="1" applyBorder="1" applyAlignment="1">
      <alignment horizontal="left" indent="2"/>
    </xf>
    <xf numFmtId="0" fontId="0" fillId="0" borderId="21" xfId="0" applyBorder="1" applyAlignment="1">
      <alignment horizontal="left" indent="2"/>
    </xf>
    <xf numFmtId="0" fontId="32" fillId="0" borderId="21" xfId="0" applyFont="1" applyBorder="1"/>
    <xf numFmtId="10" fontId="0" fillId="0" borderId="24" xfId="0" applyNumberFormat="1" applyBorder="1"/>
    <xf numFmtId="10" fontId="22" fillId="6" borderId="31" xfId="30" applyNumberFormat="1" applyBorder="1"/>
    <xf numFmtId="0" fontId="0" fillId="0" borderId="36" xfId="0" applyFill="1" applyBorder="1" applyAlignment="1">
      <alignment horizontal="left"/>
    </xf>
    <xf numFmtId="4" fontId="23" fillId="7" borderId="37" xfId="31" applyNumberFormat="1" applyBorder="1"/>
    <xf numFmtId="0" fontId="0" fillId="0" borderId="21" xfId="0" applyFill="1" applyBorder="1" applyAlignment="1">
      <alignment horizontal="left"/>
    </xf>
    <xf numFmtId="4" fontId="23" fillId="7" borderId="31" xfId="31" applyNumberFormat="1" applyBorder="1"/>
    <xf numFmtId="4" fontId="23" fillId="7" borderId="30" xfId="31" applyNumberFormat="1" applyBorder="1"/>
    <xf numFmtId="4" fontId="23" fillId="7" borderId="38" xfId="31" applyNumberFormat="1" applyBorder="1"/>
    <xf numFmtId="0" fontId="0" fillId="0" borderId="32" xfId="0" applyBorder="1"/>
    <xf numFmtId="9" fontId="22" fillId="6" borderId="24" xfId="30" applyNumberFormat="1" applyBorder="1"/>
    <xf numFmtId="0" fontId="23" fillId="7" borderId="38" xfId="31" applyBorder="1"/>
    <xf numFmtId="0" fontId="2" fillId="4" borderId="0" xfId="0" applyFont="1" applyFill="1" applyBorder="1" applyAlignment="1"/>
    <xf numFmtId="0" fontId="23" fillId="7" borderId="16" xfId="31"/>
    <xf numFmtId="0" fontId="22" fillId="6" borderId="16" xfId="30" applyAlignment="1">
      <alignment horizontal="right"/>
    </xf>
    <xf numFmtId="0" fontId="27" fillId="6" borderId="16" xfId="30" applyFont="1"/>
    <xf numFmtId="10" fontId="27" fillId="6" borderId="16" xfId="30" applyNumberFormat="1" applyFont="1"/>
    <xf numFmtId="0" fontId="32" fillId="0" borderId="0" xfId="0" applyFont="1"/>
    <xf numFmtId="0" fontId="22" fillId="6" borderId="16" xfId="30"/>
    <xf numFmtId="9" fontId="27" fillId="6" borderId="16" xfId="30" applyNumberFormat="1" applyFont="1"/>
    <xf numFmtId="1" fontId="27" fillId="6" borderId="16" xfId="30" applyNumberFormat="1" applyFont="1"/>
    <xf numFmtId="9" fontId="22" fillId="6" borderId="16" xfId="30" applyNumberFormat="1"/>
    <xf numFmtId="10" fontId="22" fillId="6" borderId="16" xfId="30" applyNumberFormat="1"/>
    <xf numFmtId="4" fontId="23" fillId="7" borderId="16" xfId="31" applyNumberFormat="1" applyAlignment="1">
      <alignment horizontal="right"/>
    </xf>
    <xf numFmtId="4" fontId="24" fillId="0" borderId="17" xfId="32" applyNumberFormat="1"/>
    <xf numFmtId="0" fontId="0" fillId="0" borderId="0" xfId="0" applyFill="1" applyBorder="1"/>
    <xf numFmtId="4" fontId="24" fillId="0" borderId="17" xfId="32" applyNumberFormat="1" applyFill="1" applyAlignment="1">
      <alignment horizontal="right"/>
    </xf>
    <xf numFmtId="0" fontId="32" fillId="0" borderId="18" xfId="0" applyFont="1" applyBorder="1"/>
    <xf numFmtId="0" fontId="0" fillId="0" borderId="19" xfId="0" applyBorder="1"/>
    <xf numFmtId="0" fontId="0" fillId="0" borderId="20" xfId="0" applyBorder="1"/>
    <xf numFmtId="10" fontId="27" fillId="6" borderId="16" xfId="30" applyNumberFormat="1" applyFont="1" applyBorder="1"/>
    <xf numFmtId="0" fontId="27" fillId="6" borderId="16" xfId="30" applyFont="1" applyBorder="1"/>
    <xf numFmtId="0" fontId="0" fillId="0" borderId="27" xfId="0" applyFill="1" applyBorder="1"/>
    <xf numFmtId="0" fontId="23" fillId="7" borderId="39" xfId="31" applyBorder="1"/>
    <xf numFmtId="2" fontId="23" fillId="7" borderId="39" xfId="31" applyNumberFormat="1" applyBorder="1"/>
    <xf numFmtId="164" fontId="21" fillId="5" borderId="1" xfId="29" applyNumberFormat="1" applyBorder="1" applyAlignment="1">
      <alignment horizontal="right" vertical="center"/>
    </xf>
    <xf numFmtId="0" fontId="19" fillId="0" borderId="1" xfId="0" applyFont="1" applyBorder="1"/>
    <xf numFmtId="2" fontId="20" fillId="0" borderId="1" xfId="0" applyNumberFormat="1" applyFont="1" applyBorder="1"/>
    <xf numFmtId="2" fontId="2" fillId="0" borderId="1" xfId="0" applyNumberFormat="1" applyFont="1" applyBorder="1"/>
    <xf numFmtId="0" fontId="20" fillId="0" borderId="1" xfId="0" applyFont="1" applyBorder="1"/>
    <xf numFmtId="168" fontId="20" fillId="0" borderId="1" xfId="0" applyNumberFormat="1" applyFont="1" applyBorder="1"/>
    <xf numFmtId="0" fontId="0" fillId="0" borderId="0" xfId="0" applyBorder="1" applyAlignment="1">
      <alignment horizontal="center"/>
    </xf>
    <xf numFmtId="168" fontId="20" fillId="0" borderId="0" xfId="0" applyNumberFormat="1" applyFont="1" applyBorder="1"/>
    <xf numFmtId="164" fontId="23" fillId="7" borderId="16" xfId="31" applyNumberFormat="1"/>
    <xf numFmtId="164" fontId="24" fillId="0" borderId="17" xfId="32" applyNumberFormat="1" applyFill="1"/>
    <xf numFmtId="43" fontId="24" fillId="0" borderId="17" xfId="32" applyNumberFormat="1"/>
    <xf numFmtId="168" fontId="24" fillId="0" borderId="17" xfId="32" applyNumberFormat="1"/>
    <xf numFmtId="0" fontId="32" fillId="0" borderId="0" xfId="0" applyFont="1" applyFill="1" applyBorder="1"/>
    <xf numFmtId="164" fontId="35" fillId="8" borderId="1" xfId="33" applyNumberFormat="1" applyBorder="1" applyAlignment="1">
      <alignment horizontal="right" vertical="center"/>
    </xf>
    <xf numFmtId="0" fontId="3" fillId="0" borderId="4" xfId="0" applyFont="1" applyFill="1" applyBorder="1"/>
    <xf numFmtId="1" fontId="22" fillId="6" borderId="41" xfId="30" applyNumberFormat="1" applyBorder="1"/>
    <xf numFmtId="164" fontId="23" fillId="7" borderId="42" xfId="31" applyNumberFormat="1" applyBorder="1" applyAlignment="1">
      <alignment horizontal="right"/>
    </xf>
    <xf numFmtId="164" fontId="38" fillId="6" borderId="40" xfId="30" applyNumberFormat="1" applyFont="1" applyBorder="1" applyAlignment="1">
      <alignment horizontal="right"/>
    </xf>
    <xf numFmtId="2" fontId="24" fillId="0" borderId="17" xfId="32" applyNumberFormat="1"/>
    <xf numFmtId="0" fontId="28" fillId="3" borderId="1" xfId="0" applyFont="1" applyFill="1" applyBorder="1" applyAlignment="1">
      <alignment wrapText="1"/>
    </xf>
    <xf numFmtId="164" fontId="39" fillId="0" borderId="1" xfId="0" applyNumberFormat="1" applyFont="1" applyFill="1" applyBorder="1" applyAlignment="1">
      <alignment horizontal="right" vertical="center"/>
    </xf>
    <xf numFmtId="0" fontId="19" fillId="0" borderId="2" xfId="0" applyFont="1" applyBorder="1" applyAlignment="1">
      <alignment horizontal="center"/>
    </xf>
    <xf numFmtId="0" fontId="19" fillId="0" borderId="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2" xfId="0" applyFont="1" applyFill="1" applyBorder="1" applyAlignment="1">
      <alignment horizontal="left"/>
    </xf>
    <xf numFmtId="0" fontId="0" fillId="0" borderId="4" xfId="0" applyBorder="1" applyAlignment="1"/>
    <xf numFmtId="0" fontId="0" fillId="0" borderId="3" xfId="0" applyBorder="1" applyAlignment="1"/>
    <xf numFmtId="0" fontId="17" fillId="0" borderId="0" xfId="3" applyFont="1" applyFill="1" applyBorder="1" applyAlignment="1">
      <alignment horizontal="center"/>
    </xf>
    <xf numFmtId="0" fontId="10" fillId="0" borderId="0" xfId="4"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18" xfId="0" applyFont="1" applyBorder="1" applyAlignment="1">
      <alignment horizontal="center"/>
    </xf>
    <xf numFmtId="0" fontId="14" fillId="0" borderId="20" xfId="0" applyFont="1" applyBorder="1" applyAlignment="1">
      <alignment horizontal="center"/>
    </xf>
    <xf numFmtId="0" fontId="14" fillId="0" borderId="0" xfId="0" applyFont="1" applyAlignment="1">
      <alignment horizontal="center"/>
    </xf>
    <xf numFmtId="0" fontId="26" fillId="0" borderId="18" xfId="0" applyFont="1" applyBorder="1" applyAlignment="1">
      <alignment horizontal="center"/>
    </xf>
    <xf numFmtId="0" fontId="26" fillId="0" borderId="20" xfId="0" applyFont="1" applyBorder="1" applyAlignment="1">
      <alignment horizontal="center"/>
    </xf>
    <xf numFmtId="0" fontId="28" fillId="0" borderId="18" xfId="0" applyFont="1" applyFill="1" applyBorder="1" applyAlignment="1">
      <alignment horizontal="center"/>
    </xf>
    <xf numFmtId="0" fontId="28" fillId="0" borderId="20" xfId="0" applyFont="1" applyFill="1" applyBorder="1" applyAlignment="1">
      <alignment horizontal="center"/>
    </xf>
    <xf numFmtId="0" fontId="4" fillId="0" borderId="0" xfId="0" applyFont="1" applyFill="1" applyAlignment="1">
      <alignment horizontal="center"/>
    </xf>
    <xf numFmtId="0" fontId="3" fillId="0" borderId="2" xfId="0" applyFont="1" applyFill="1" applyBorder="1" applyAlignment="1">
      <alignment horizontal="left"/>
    </xf>
    <xf numFmtId="0" fontId="3" fillId="0" borderId="3"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2" fontId="3" fillId="0" borderId="2" xfId="0" applyNumberFormat="1" applyFont="1" applyFill="1" applyBorder="1" applyAlignment="1">
      <alignment horizontal="left"/>
    </xf>
    <xf numFmtId="2" fontId="3" fillId="0" borderId="3" xfId="0" applyNumberFormat="1"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 xfId="0" applyFont="1" applyFill="1" applyBorder="1" applyAlignment="1">
      <alignment horizontal="left"/>
    </xf>
    <xf numFmtId="164" fontId="3" fillId="0" borderId="1" xfId="0" applyNumberFormat="1" applyFont="1" applyFill="1" applyBorder="1" applyAlignment="1">
      <alignment horizontal="left" vertical="center"/>
    </xf>
    <xf numFmtId="0" fontId="14" fillId="0" borderId="11" xfId="0" applyFont="1" applyFill="1" applyBorder="1" applyAlignment="1">
      <alignment horizontal="center"/>
    </xf>
    <xf numFmtId="0" fontId="14" fillId="0" borderId="13" xfId="0" applyFont="1" applyFill="1" applyBorder="1" applyAlignment="1">
      <alignment horizontal="center"/>
    </xf>
    <xf numFmtId="0" fontId="14" fillId="0" borderId="4" xfId="0" applyFont="1" applyBorder="1" applyAlignment="1">
      <alignment horizontal="center"/>
    </xf>
    <xf numFmtId="0" fontId="0" fillId="0" borderId="0" xfId="0" applyFont="1" applyAlignment="1">
      <alignment horizontal="left" vertical="center" wrapText="1"/>
    </xf>
    <xf numFmtId="0" fontId="0" fillId="3" borderId="0" xfId="0" applyFont="1" applyFill="1" applyAlignment="1">
      <alignment horizontal="left" vertical="center" wrapText="1"/>
    </xf>
    <xf numFmtId="9" fontId="0" fillId="0" borderId="0" xfId="0" applyNumberFormat="1"/>
  </cellXfs>
  <cellStyles count="34">
    <cellStyle name="Bad" xfId="29" builtinId="27"/>
    <cellStyle name="Calculation" xfId="31" builtinId="22"/>
    <cellStyle name="Currency" xfId="1" builtinId="4"/>
    <cellStyle name="Followed Hyperlink" xfId="28" builtinId="9" hidden="1"/>
    <cellStyle name="Followed Hyperlink" xfId="12" builtinId="9" hidden="1"/>
    <cellStyle name="Followed Hyperlink" xfId="24" builtinId="9" hidden="1"/>
    <cellStyle name="Followed Hyperlink" xfId="10" builtinId="9" hidden="1"/>
    <cellStyle name="Followed Hyperlink" xfId="18" builtinId="9" hidden="1"/>
    <cellStyle name="Followed Hyperlink" xfId="14" builtinId="9" hidden="1"/>
    <cellStyle name="Followed Hyperlink" xfId="20" builtinId="9" hidden="1"/>
    <cellStyle name="Followed Hyperlink" xfId="16" builtinId="9" hidden="1"/>
    <cellStyle name="Followed Hyperlink" xfId="26" builtinId="9" hidden="1"/>
    <cellStyle name="Followed Hyperlink" xfId="22" builtinId="9" hidden="1"/>
    <cellStyle name="Followed Hyperlink" xfId="8" builtinId="9" hidden="1"/>
    <cellStyle name="Good" xfId="2" builtinId="26"/>
    <cellStyle name="Heading 1" xfId="3" builtinId="16"/>
    <cellStyle name="Heading 2" xfId="4" builtinId="17"/>
    <cellStyle name="Hyperlink" xfId="13" builtinId="8" hidden="1"/>
    <cellStyle name="Hyperlink" xfId="23" builtinId="8" hidden="1"/>
    <cellStyle name="Hyperlink" xfId="25" builtinId="8" hidden="1"/>
    <cellStyle name="Hyperlink" xfId="17" builtinId="8" hidden="1"/>
    <cellStyle name="Hyperlink" xfId="19" builtinId="8" hidden="1"/>
    <cellStyle name="Hyperlink" xfId="21" builtinId="8" hidden="1"/>
    <cellStyle name="Hyperlink" xfId="7" builtinId="8" hidden="1"/>
    <cellStyle name="Hyperlink" xfId="27" builtinId="8" hidden="1"/>
    <cellStyle name="Hyperlink" xfId="9" builtinId="8" hidden="1"/>
    <cellStyle name="Hyperlink" xfId="11" builtinId="8" hidden="1"/>
    <cellStyle name="Hyperlink" xfId="15" builtinId="8" hidden="1"/>
    <cellStyle name="Input" xfId="30" builtinId="20"/>
    <cellStyle name="Linked Cell" xfId="32" builtinId="24"/>
    <cellStyle name="Neutral" xfId="33" builtinId="28"/>
    <cellStyle name="Normal" xfId="0" builtinId="0"/>
    <cellStyle name="Percent" xfId="5" builtinId="5"/>
    <cellStyle name="Warning Text" xfId="6" builtinId="11"/>
  </cellStyles>
  <dxfs count="20">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relative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center" vertical="bottom" textRotation="0" wrapText="0" relative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of TOTAL LIVING wage Budget, </a:t>
            </a:r>
          </a:p>
          <a:p>
            <a:pPr>
              <a:defRPr/>
            </a:pPr>
            <a:r>
              <a:rPr lang="en-US"/>
              <a:t>Saint John, NB 2018</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Sheet1!$B$1</c:f>
              <c:strCache>
                <c:ptCount val="1"/>
                <c:pt idx="0">
                  <c:v>Monthly</c:v>
                </c:pt>
              </c:strCache>
            </c:strRef>
          </c:tx>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Pt>
            <c:idx val="6"/>
            <c:bubble3D val="0"/>
            <c:spPr>
              <a:solidFill>
                <a:schemeClr val="accent1">
                  <a:lumMod val="60000"/>
                </a:schemeClr>
              </a:solidFill>
              <a:ln>
                <a:noFill/>
              </a:ln>
              <a:effectLst>
                <a:outerShdw blurRad="63500" sx="102000" sy="102000" algn="ctr" rotWithShape="0">
                  <a:prstClr val="black">
                    <a:alpha val="20000"/>
                  </a:prstClr>
                </a:outerShdw>
              </a:effectLst>
            </c:spPr>
          </c:dPt>
          <c:dPt>
            <c:idx val="7"/>
            <c:bubble3D val="0"/>
            <c:spPr>
              <a:solidFill>
                <a:schemeClr val="accent2">
                  <a:lumMod val="60000"/>
                </a:schemeClr>
              </a:solidFill>
              <a:ln>
                <a:noFill/>
              </a:ln>
              <a:effectLst>
                <a:outerShdw blurRad="63500" sx="102000" sy="102000" algn="ctr" rotWithShape="0">
                  <a:prstClr val="black">
                    <a:alpha val="20000"/>
                  </a:prstClr>
                </a:outerShdw>
              </a:effectLst>
            </c:spPr>
          </c:dPt>
          <c:dPt>
            <c:idx val="8"/>
            <c:bubble3D val="0"/>
            <c:spPr>
              <a:solidFill>
                <a:schemeClr val="accent3">
                  <a:lumMod val="60000"/>
                </a:schemeClr>
              </a:solidFill>
              <a:ln>
                <a:noFill/>
              </a:ln>
              <a:effectLst>
                <a:outerShdw blurRad="63500" sx="102000" sy="102000" algn="ctr" rotWithShape="0">
                  <a:prstClr val="black">
                    <a:alpha val="20000"/>
                  </a:prstClr>
                </a:outerShdw>
              </a:effectLst>
            </c:spPr>
          </c:dPt>
          <c:dPt>
            <c:idx val="9"/>
            <c:bubble3D val="0"/>
            <c:spPr>
              <a:solidFill>
                <a:schemeClr val="accent4">
                  <a:lumMod val="60000"/>
                </a:schemeClr>
              </a:solidFill>
              <a:ln>
                <a:noFill/>
              </a:ln>
              <a:effectLst>
                <a:outerShdw blurRad="63500" sx="102000" sy="102000" algn="ctr" rotWithShape="0">
                  <a:prstClr val="black">
                    <a:alpha val="20000"/>
                  </a:prstClr>
                </a:outerShdw>
              </a:effectLst>
            </c:spPr>
          </c:dPt>
          <c:dPt>
            <c:idx val="10"/>
            <c:bubble3D val="0"/>
            <c:spPr>
              <a:solidFill>
                <a:schemeClr val="accent5">
                  <a:lumMod val="60000"/>
                </a:schemeClr>
              </a:solidFill>
              <a:ln>
                <a:noFill/>
              </a:ln>
              <a:effectLst>
                <a:outerShdw blurRad="63500" sx="102000" sy="102000" algn="ctr" rotWithShape="0">
                  <a:prstClr val="black">
                    <a:alpha val="20000"/>
                  </a:prstClr>
                </a:outerShdw>
              </a:effectLst>
            </c:spPr>
          </c:dPt>
          <c:dLbls>
            <c:dLbl>
              <c:idx val="0"/>
              <c:layout>
                <c:manualLayout>
                  <c:x val="4.4957608716176663E-2"/>
                  <c:y val="1.57282126157627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dLbl>
            <c:dLbl>
              <c:idx val="2"/>
              <c:layout>
                <c:manualLayout>
                  <c:x val="3.2973432277799808E-2"/>
                  <c:y val="4.372494172807420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dLbl>
            <c:dLbl>
              <c:idx val="5"/>
              <c:layout>
                <c:manualLayout>
                  <c:x val="-4.5862081987952948E-2"/>
                  <c:y val="-6.03730075167256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showLegendKey val="0"/>
              <c:showVal val="0"/>
              <c:showCatName val="1"/>
              <c:showSerName val="0"/>
              <c:showPercent val="1"/>
              <c:showBubbleSize val="0"/>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showLegendKey val="0"/>
              <c:showVal val="0"/>
              <c:showCatName val="1"/>
              <c:showSerName val="0"/>
              <c:showPercent val="1"/>
              <c:showBubbleSize val="0"/>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showLegendKey val="0"/>
              <c:showVal val="0"/>
              <c:showCatName val="1"/>
              <c:showSerName val="0"/>
              <c:showPercent val="1"/>
              <c:showBubbleSize val="0"/>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Sheet1!$A$2:$A$12</c:f>
              <c:strCache>
                <c:ptCount val="11"/>
                <c:pt idx="0">
                  <c:v>Food</c:v>
                </c:pt>
                <c:pt idx="1">
                  <c:v>Clothing and Footwear</c:v>
                </c:pt>
                <c:pt idx="2">
                  <c:v>Shelter</c:v>
                </c:pt>
                <c:pt idx="3">
                  <c:v>Utilities</c:v>
                </c:pt>
                <c:pt idx="4">
                  <c:v>Transportation</c:v>
                </c:pt>
                <c:pt idx="5">
                  <c:v>Child Care</c:v>
                </c:pt>
                <c:pt idx="6">
                  <c:v>Health Care</c:v>
                </c:pt>
                <c:pt idx="7">
                  <c:v>Emergency</c:v>
                </c:pt>
                <c:pt idx="8">
                  <c:v>Parent Education</c:v>
                </c:pt>
                <c:pt idx="9">
                  <c:v>Household Expenses</c:v>
                </c:pt>
                <c:pt idx="10">
                  <c:v>Social Inclusion</c:v>
                </c:pt>
              </c:strCache>
            </c:strRef>
          </c:cat>
          <c:val>
            <c:numRef>
              <c:f>Sheet1!$B$2:$B$12</c:f>
              <c:numCache>
                <c:formatCode>"$"#,##0.00</c:formatCode>
                <c:ptCount val="11"/>
                <c:pt idx="0">
                  <c:v>1052.7477866312527</c:v>
                </c:pt>
                <c:pt idx="1">
                  <c:v>184.85291113381001</c:v>
                </c:pt>
                <c:pt idx="2">
                  <c:v>819.71</c:v>
                </c:pt>
                <c:pt idx="3">
                  <c:v>294.71600000000001</c:v>
                </c:pt>
                <c:pt idx="4">
                  <c:v>550.61419068736143</c:v>
                </c:pt>
                <c:pt idx="5">
                  <c:v>1179.6625000000001</c:v>
                </c:pt>
                <c:pt idx="6">
                  <c:v>164.81</c:v>
                </c:pt>
                <c:pt idx="7">
                  <c:v>212.06148217238248</c:v>
                </c:pt>
                <c:pt idx="8">
                  <c:v>113</c:v>
                </c:pt>
                <c:pt idx="9">
                  <c:v>466.57546305742864</c:v>
                </c:pt>
                <c:pt idx="10">
                  <c:v>466.57546305742864</c:v>
                </c:pt>
              </c:numCache>
            </c:numRef>
          </c:val>
        </c:ser>
        <c:ser>
          <c:idx val="1"/>
          <c:order val="1"/>
          <c:tx>
            <c:strRef>
              <c:f>Sheet1!$C$1</c:f>
              <c:strCache>
                <c:ptCount val="1"/>
                <c:pt idx="0">
                  <c:v>% of Total Annually</c:v>
                </c:pt>
              </c:strCache>
            </c:strRef>
          </c:tx>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Pt>
            <c:idx val="6"/>
            <c:bubble3D val="0"/>
            <c:spPr>
              <a:solidFill>
                <a:schemeClr val="accent1">
                  <a:lumMod val="60000"/>
                </a:schemeClr>
              </a:solidFill>
              <a:ln>
                <a:noFill/>
              </a:ln>
              <a:effectLst>
                <a:outerShdw blurRad="63500" sx="102000" sy="102000" algn="ctr" rotWithShape="0">
                  <a:prstClr val="black">
                    <a:alpha val="20000"/>
                  </a:prstClr>
                </a:outerShdw>
              </a:effectLst>
            </c:spPr>
          </c:dPt>
          <c:dPt>
            <c:idx val="7"/>
            <c:bubble3D val="0"/>
            <c:spPr>
              <a:solidFill>
                <a:schemeClr val="accent2">
                  <a:lumMod val="60000"/>
                </a:schemeClr>
              </a:solidFill>
              <a:ln>
                <a:noFill/>
              </a:ln>
              <a:effectLst>
                <a:outerShdw blurRad="63500" sx="102000" sy="102000" algn="ctr" rotWithShape="0">
                  <a:prstClr val="black">
                    <a:alpha val="20000"/>
                  </a:prstClr>
                </a:outerShdw>
              </a:effectLst>
            </c:spPr>
          </c:dPt>
          <c:dPt>
            <c:idx val="8"/>
            <c:bubble3D val="0"/>
            <c:spPr>
              <a:solidFill>
                <a:schemeClr val="accent3">
                  <a:lumMod val="60000"/>
                </a:schemeClr>
              </a:solidFill>
              <a:ln>
                <a:noFill/>
              </a:ln>
              <a:effectLst>
                <a:outerShdw blurRad="63500" sx="102000" sy="102000" algn="ctr" rotWithShape="0">
                  <a:prstClr val="black">
                    <a:alpha val="20000"/>
                  </a:prstClr>
                </a:outerShdw>
              </a:effectLst>
            </c:spPr>
          </c:dPt>
          <c:dPt>
            <c:idx val="9"/>
            <c:bubble3D val="0"/>
            <c:spPr>
              <a:solidFill>
                <a:schemeClr val="accent4">
                  <a:lumMod val="60000"/>
                </a:schemeClr>
              </a:solidFill>
              <a:ln>
                <a:noFill/>
              </a:ln>
              <a:effectLst>
                <a:outerShdw blurRad="63500" sx="102000" sy="102000" algn="ctr" rotWithShape="0">
                  <a:prstClr val="black">
                    <a:alpha val="20000"/>
                  </a:prstClr>
                </a:outerShdw>
              </a:effectLst>
            </c:spPr>
          </c:dPt>
          <c:dPt>
            <c:idx val="10"/>
            <c:bubble3D val="0"/>
            <c:spPr>
              <a:solidFill>
                <a:schemeClr val="accent5">
                  <a:lumMod val="60000"/>
                </a:schemeClr>
              </a:solidFill>
              <a:ln>
                <a:noFill/>
              </a:ln>
              <a:effectLst>
                <a:outerShdw blurRad="63500" sx="102000" sy="102000" algn="ctr" rotWithShape="0">
                  <a:prstClr val="black">
                    <a:alpha val="20000"/>
                  </a:prstClr>
                </a:outerShdw>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showLegendKey val="0"/>
              <c:showVal val="0"/>
              <c:showCatName val="1"/>
              <c:showSerName val="0"/>
              <c:showPercent val="1"/>
              <c:showBubbleSize val="0"/>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showLegendKey val="0"/>
              <c:showVal val="0"/>
              <c:showCatName val="1"/>
              <c:showSerName val="0"/>
              <c:showPercent val="1"/>
              <c:showBubbleSize val="0"/>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showLegendKey val="0"/>
              <c:showVal val="0"/>
              <c:showCatName val="1"/>
              <c:showSerName val="0"/>
              <c:showPercent val="1"/>
              <c:showBubbleSize val="0"/>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showLegendKey val="0"/>
              <c:showVal val="0"/>
              <c:showCatName val="1"/>
              <c:showSerName val="0"/>
              <c:showPercent val="1"/>
              <c:showBubbleSize val="0"/>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Sheet1!$A$2:$A$12</c:f>
              <c:strCache>
                <c:ptCount val="11"/>
                <c:pt idx="0">
                  <c:v>Food</c:v>
                </c:pt>
                <c:pt idx="1">
                  <c:v>Clothing and Footwear</c:v>
                </c:pt>
                <c:pt idx="2">
                  <c:v>Shelter</c:v>
                </c:pt>
                <c:pt idx="3">
                  <c:v>Utilities</c:v>
                </c:pt>
                <c:pt idx="4">
                  <c:v>Transportation</c:v>
                </c:pt>
                <c:pt idx="5">
                  <c:v>Child Care</c:v>
                </c:pt>
                <c:pt idx="6">
                  <c:v>Health Care</c:v>
                </c:pt>
                <c:pt idx="7">
                  <c:v>Emergency</c:v>
                </c:pt>
                <c:pt idx="8">
                  <c:v>Parent Education</c:v>
                </c:pt>
                <c:pt idx="9">
                  <c:v>Household Expenses</c:v>
                </c:pt>
                <c:pt idx="10">
                  <c:v>Social Inclusion</c:v>
                </c:pt>
              </c:strCache>
            </c:strRef>
          </c:cat>
          <c:val>
            <c:numRef>
              <c:f>Sheet1!$C$2:$C$12</c:f>
              <c:numCache>
                <c:formatCode>0%</c:formatCode>
                <c:ptCount val="11"/>
                <c:pt idx="0">
                  <c:v>0.19122352164057316</c:v>
                </c:pt>
                <c:pt idx="1">
                  <c:v>3.3577106597993282E-2</c:v>
                </c:pt>
                <c:pt idx="2">
                  <c:v>0.14889400378183695</c:v>
                </c:pt>
                <c:pt idx="3">
                  <c:v>5.353288994713723E-2</c:v>
                </c:pt>
                <c:pt idx="4">
                  <c:v>0.1000148240115859</c:v>
                </c:pt>
                <c:pt idx="5">
                  <c:v>0.21427660115930175</c:v>
                </c:pt>
                <c:pt idx="6">
                  <c:v>2.9936466266465636E-2</c:v>
                </c:pt>
                <c:pt idx="7">
                  <c:v>3.8519333823616476E-2</c:v>
                </c:pt>
                <c:pt idx="8">
                  <c:v>2.0525579079610563E-2</c:v>
                </c:pt>
                <c:pt idx="9">
                  <c:v>8.474983684593955E-2</c:v>
                </c:pt>
                <c:pt idx="10">
                  <c:v>8.474983684593955E-2</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342900</xdr:colOff>
      <xdr:row>1</xdr:row>
      <xdr:rowOff>152400</xdr:rowOff>
    </xdr:from>
    <xdr:to>
      <xdr:col>14</xdr:col>
      <xdr:colOff>152400</xdr:colOff>
      <xdr:row>17</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6" name="Table37" displayName="Table37" ref="A5:D17" totalsRowShown="0" headerRowBorderDxfId="19" tableBorderDxfId="18">
  <autoFilter ref="A5:D17"/>
  <tableColumns count="4">
    <tableColumn id="1" name="Item" dataDxfId="17" dataCellStyle="Good"/>
    <tableColumn id="2" name="Monthly" dataDxfId="16" dataCellStyle="Good">
      <calculatedColumnFormula>Table37[[#This Row],[Annually]]/12</calculatedColumnFormula>
    </tableColumn>
    <tableColumn id="3" name="Annually" dataDxfId="15" dataCellStyle="Good">
      <calculatedColumnFormula>'Family Expenses'!B47</calculatedColumnFormula>
    </tableColumn>
    <tableColumn id="4" name="% of Total Annually" dataDxfId="14" dataCellStyle="Good">
      <calculatedColumnFormula>C6/C7</calculatedColumnFormula>
    </tableColumn>
  </tableColumns>
  <tableStyleInfo name="TableStyleLight1" showFirstColumn="0" showLastColumn="0" showRowStripes="0" showColumnStripes="0"/>
</table>
</file>

<file path=xl/tables/table2.xml><?xml version="1.0" encoding="utf-8"?>
<table xmlns="http://schemas.openxmlformats.org/spreadsheetml/2006/main" id="7" name="Table48" displayName="Table48" ref="A20:E27" totalsRowShown="0" headerRowBorderDxfId="13" tableBorderDxfId="12" totalsRowBorderDxfId="11">
  <autoFilter ref="A20:E27"/>
  <tableColumns count="5">
    <tableColumn id="1" name="Income" dataDxfId="10" dataCellStyle="Good"/>
    <tableColumn id="2" name="Monthly" dataDxfId="9" dataCellStyle="Good"/>
    <tableColumn id="3" name="Annually" dataDxfId="8" dataCellStyle="Good"/>
    <tableColumn id="4" name="Column1"/>
    <tableColumn id="5" name="Column2"/>
  </tableColumns>
  <tableStyleInfo name="TableStyleLight1" showFirstColumn="0" showLastColumn="0" showRowStripes="0" showColumnStripes="0"/>
</table>
</file>

<file path=xl/tables/table3.xml><?xml version="1.0" encoding="utf-8"?>
<table xmlns="http://schemas.openxmlformats.org/spreadsheetml/2006/main" id="8" name="Table59" displayName="Table59" ref="A36:D48" totalsRowShown="0" headerRowDxfId="7" headerRowBorderDxfId="6" tableBorderDxfId="5" totalsRowBorderDxfId="4">
  <autoFilter ref="A36:D48"/>
  <tableColumns count="4">
    <tableColumn id="1" name="Column1" dataDxfId="3"/>
    <tableColumn id="2" name="Parent 1" dataDxfId="2"/>
    <tableColumn id="3" name="Parent 2" dataDxfId="1"/>
    <tableColumn id="4" name="Total" dataDxfId="0">
      <calculatedColumnFormula>B37+C37</calculatedColumnFormula>
    </tableColumn>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5" Type="http://schemas.openxmlformats.org/officeDocument/2006/relationships/comments" Target="../comments1.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topLeftCell="A3" zoomScale="120" zoomScaleNormal="120" zoomScalePageLayoutView="120" workbookViewId="0">
      <selection activeCell="A5" sqref="A5:D17"/>
    </sheetView>
  </sheetViews>
  <sheetFormatPr defaultColWidth="8.85546875" defaultRowHeight="15" x14ac:dyDescent="0.25"/>
  <cols>
    <col min="1" max="1" width="23.85546875" style="42" customWidth="1"/>
    <col min="2" max="2" width="13.42578125" style="42" customWidth="1"/>
    <col min="3" max="3" width="12.7109375" style="42" customWidth="1"/>
    <col min="4" max="4" width="18.7109375" style="42" customWidth="1"/>
    <col min="5" max="5" width="24.140625" style="42" customWidth="1"/>
    <col min="6" max="6" width="20.42578125" style="42" customWidth="1"/>
    <col min="7" max="7" width="15.140625" style="42" customWidth="1"/>
    <col min="8" max="8" width="17.7109375" style="42" customWidth="1"/>
    <col min="9" max="9" width="11.140625" style="42" customWidth="1"/>
    <col min="10" max="10" width="11.85546875" style="42" customWidth="1"/>
    <col min="11" max="11" width="8.140625" style="42" customWidth="1"/>
    <col min="12" max="12" width="11.7109375" style="42" customWidth="1"/>
    <col min="13" max="13" width="11" style="42" customWidth="1"/>
    <col min="14" max="14" width="11.140625" style="42" customWidth="1"/>
    <col min="15" max="15" width="14.42578125" style="42" customWidth="1"/>
    <col min="16" max="16" width="10.42578125" style="42" customWidth="1"/>
    <col min="17" max="17" width="13.140625" style="42" customWidth="1"/>
    <col min="18" max="18" width="12" style="42" bestFit="1" customWidth="1"/>
    <col min="19" max="19" width="10.42578125" style="42" customWidth="1"/>
    <col min="20" max="16384" width="8.85546875" style="42"/>
  </cols>
  <sheetData>
    <row r="1" spans="1:16" ht="21" x14ac:dyDescent="0.35">
      <c r="A1" s="282" t="s">
        <v>100</v>
      </c>
      <c r="B1" s="282"/>
      <c r="C1" s="282"/>
      <c r="D1" s="282"/>
      <c r="E1" s="282"/>
      <c r="F1" s="282"/>
      <c r="G1" s="282"/>
      <c r="H1" s="41"/>
      <c r="I1" s="41"/>
      <c r="J1" s="1"/>
      <c r="K1" s="1"/>
      <c r="L1" s="1"/>
      <c r="M1" s="1"/>
      <c r="N1" s="1"/>
      <c r="O1" s="1"/>
    </row>
    <row r="2" spans="1:16" ht="17.25" x14ac:dyDescent="0.3">
      <c r="A2" s="283"/>
      <c r="B2" s="283"/>
      <c r="C2" s="1"/>
      <c r="D2" s="1"/>
      <c r="E2" s="1"/>
      <c r="H2" s="1"/>
      <c r="I2" s="1"/>
      <c r="J2" s="1"/>
      <c r="K2" s="1"/>
      <c r="L2" s="1"/>
      <c r="M2" s="1"/>
      <c r="N2" s="1"/>
      <c r="O2" s="1"/>
    </row>
    <row r="3" spans="1:16" x14ac:dyDescent="0.25">
      <c r="B3" s="2"/>
      <c r="C3" s="4"/>
      <c r="D3" s="1"/>
      <c r="E3" s="5"/>
      <c r="H3" s="5"/>
      <c r="I3" s="6"/>
      <c r="J3" s="1"/>
      <c r="K3" s="7"/>
      <c r="L3" s="4"/>
      <c r="M3" s="4"/>
      <c r="N3" s="4"/>
      <c r="O3" s="4"/>
    </row>
    <row r="4" spans="1:16" ht="17.25" x14ac:dyDescent="0.3">
      <c r="A4" s="27" t="s">
        <v>127</v>
      </c>
      <c r="B4" s="27"/>
      <c r="C4" s="27"/>
      <c r="D4" s="27"/>
      <c r="E4" s="5"/>
      <c r="H4" s="5"/>
      <c r="O4" s="4"/>
    </row>
    <row r="5" spans="1:16" x14ac:dyDescent="0.25">
      <c r="A5" s="58" t="s">
        <v>1</v>
      </c>
      <c r="B5" s="59" t="s">
        <v>2</v>
      </c>
      <c r="C5" s="60" t="s">
        <v>3</v>
      </c>
      <c r="D5" s="61" t="s">
        <v>160</v>
      </c>
      <c r="E5" s="8"/>
      <c r="H5" s="9"/>
    </row>
    <row r="6" spans="1:16" ht="15.75" thickBot="1" x14ac:dyDescent="0.3">
      <c r="A6" s="56" t="s">
        <v>5</v>
      </c>
      <c r="B6" s="191">
        <f>Table37[[#This Row],[Annually]]/12</f>
        <v>1052.7477866312527</v>
      </c>
      <c r="C6" s="191">
        <f>'Family Expenses'!B49</f>
        <v>12632.973439575033</v>
      </c>
      <c r="D6" s="156">
        <f>C6/C17</f>
        <v>0.19122352164057316</v>
      </c>
      <c r="E6" s="10"/>
      <c r="H6" s="9"/>
      <c r="P6" s="37"/>
    </row>
    <row r="7" spans="1:16" ht="16.5" thickTop="1" thickBot="1" x14ac:dyDescent="0.3">
      <c r="A7" s="57" t="s">
        <v>7</v>
      </c>
      <c r="B7" s="191">
        <f>Table37[[#This Row],[Annually]]/12</f>
        <v>184.85291113381001</v>
      </c>
      <c r="C7" s="191">
        <f>'Family Expenses'!B19</f>
        <v>2218.23493360572</v>
      </c>
      <c r="D7" s="156">
        <f>C7/C17</f>
        <v>3.3577106597993282E-2</v>
      </c>
      <c r="E7" s="10"/>
      <c r="H7" s="9"/>
      <c r="P7" s="37"/>
    </row>
    <row r="8" spans="1:16" ht="16.5" thickTop="1" thickBot="1" x14ac:dyDescent="0.3">
      <c r="A8" s="56" t="s">
        <v>8</v>
      </c>
      <c r="B8" s="191">
        <f>'Family Expenses'!B6</f>
        <v>819.71</v>
      </c>
      <c r="C8" s="191">
        <f>Table37[[#This Row],[Monthly]]*12</f>
        <v>9836.52</v>
      </c>
      <c r="D8" s="156">
        <f>C8/C17</f>
        <v>0.14889400378183695</v>
      </c>
      <c r="E8" s="14"/>
      <c r="H8" s="9"/>
    </row>
    <row r="9" spans="1:16" ht="16.5" thickTop="1" thickBot="1" x14ac:dyDescent="0.3">
      <c r="A9" s="56" t="s">
        <v>9</v>
      </c>
      <c r="B9" s="191">
        <f>'Family Expenses'!B15</f>
        <v>294.71600000000001</v>
      </c>
      <c r="C9" s="191">
        <f>B9*12</f>
        <v>3536.5920000000001</v>
      </c>
      <c r="D9" s="156">
        <f>C9/C17</f>
        <v>5.353288994713723E-2</v>
      </c>
      <c r="E9" s="15"/>
      <c r="H9" s="9"/>
    </row>
    <row r="10" spans="1:16" ht="16.5" thickTop="1" thickBot="1" x14ac:dyDescent="0.3">
      <c r="A10" s="56" t="s">
        <v>10</v>
      </c>
      <c r="B10" s="191">
        <f>Table37[[#This Row],[Annually]]/12</f>
        <v>550.61419068736143</v>
      </c>
      <c r="C10" s="191">
        <f>'Family Expenses'!B31</f>
        <v>6607.3702882483367</v>
      </c>
      <c r="D10" s="156">
        <f>C10/C17</f>
        <v>0.1000148240115859</v>
      </c>
      <c r="E10" s="16" t="s">
        <v>101</v>
      </c>
      <c r="H10" s="2"/>
    </row>
    <row r="11" spans="1:16" ht="16.5" thickTop="1" thickBot="1" x14ac:dyDescent="0.3">
      <c r="A11" s="56" t="s">
        <v>11</v>
      </c>
      <c r="B11" s="191">
        <f>Table37[[#This Row],[Annually]]/12</f>
        <v>1179.6625000000001</v>
      </c>
      <c r="C11" s="191">
        <f>'Family Expenses'!B46</f>
        <v>14155.95</v>
      </c>
      <c r="D11" s="156">
        <f>C11/C17</f>
        <v>0.21427660115930175</v>
      </c>
      <c r="E11" s="17"/>
      <c r="H11" s="2"/>
    </row>
    <row r="12" spans="1:16" ht="16.5" thickTop="1" thickBot="1" x14ac:dyDescent="0.3">
      <c r="A12" s="56" t="s">
        <v>12</v>
      </c>
      <c r="B12" s="191">
        <f>Table37[[#This Row],[Annually]]/12</f>
        <v>164.81</v>
      </c>
      <c r="C12" s="191">
        <f>'Family Expenses'!B53</f>
        <v>1977.72</v>
      </c>
      <c r="D12" s="156">
        <f>C12/C17</f>
        <v>2.9936466266465636E-2</v>
      </c>
      <c r="E12" s="17"/>
      <c r="H12" s="2"/>
    </row>
    <row r="13" spans="1:16" ht="16.5" thickTop="1" thickBot="1" x14ac:dyDescent="0.3">
      <c r="A13" s="56" t="s">
        <v>13</v>
      </c>
      <c r="B13" s="191">
        <f>Table37[[#This Row],[Annually]]/12</f>
        <v>212.06148217238248</v>
      </c>
      <c r="C13" s="192">
        <f>(B37*B38)*2+ (C37*C38)*2</f>
        <v>2544.7377860685897</v>
      </c>
      <c r="D13" s="156">
        <f>C13/C17</f>
        <v>3.8519333823616476E-2</v>
      </c>
      <c r="E13" s="1"/>
      <c r="H13" s="1"/>
    </row>
    <row r="14" spans="1:16" ht="16.5" thickTop="1" thickBot="1" x14ac:dyDescent="0.3">
      <c r="A14" s="56" t="s">
        <v>14</v>
      </c>
      <c r="B14" s="191">
        <f>Table37[[#This Row],[Annually]]/12</f>
        <v>113</v>
      </c>
      <c r="C14" s="191">
        <f>'Family Expenses'!B38</f>
        <v>1356</v>
      </c>
      <c r="D14" s="156">
        <f>C14/C17</f>
        <v>2.0525579079610563E-2</v>
      </c>
      <c r="E14" s="8"/>
      <c r="H14" s="2"/>
    </row>
    <row r="15" spans="1:16" ht="16.5" thickTop="1" thickBot="1" x14ac:dyDescent="0.3">
      <c r="A15" s="56" t="s">
        <v>15</v>
      </c>
      <c r="B15" s="191">
        <f>Table37[[#This Row],[Annually]]/12</f>
        <v>466.57546305742864</v>
      </c>
      <c r="C15" s="191">
        <f>'Family Expenses'!B23</f>
        <v>5598.9055566891439</v>
      </c>
      <c r="D15" s="156">
        <f>C15/C17</f>
        <v>8.474983684593955E-2</v>
      </c>
      <c r="E15" s="10"/>
      <c r="H15" s="3"/>
    </row>
    <row r="16" spans="1:16" ht="16.5" thickTop="1" thickBot="1" x14ac:dyDescent="0.3">
      <c r="A16" s="56" t="s">
        <v>16</v>
      </c>
      <c r="B16" s="191">
        <f>Table37[[#This Row],[Annually]]/12</f>
        <v>466.57546305742864</v>
      </c>
      <c r="C16" s="191">
        <f>'Family Expenses'!B24</f>
        <v>5598.9055566891439</v>
      </c>
      <c r="D16" s="156">
        <f t="shared" ref="D16" si="0">C16/C17</f>
        <v>8.474983684593955E-2</v>
      </c>
      <c r="E16" s="10"/>
      <c r="H16" s="3"/>
    </row>
    <row r="17" spans="1:10" ht="15.75" thickTop="1" x14ac:dyDescent="0.25">
      <c r="A17" s="62" t="s">
        <v>17</v>
      </c>
      <c r="B17" s="192">
        <f>SUM(B6:B16)</f>
        <v>5505.325796739663</v>
      </c>
      <c r="C17" s="192">
        <f>SUM(C6:C16)</f>
        <v>66063.909560875967</v>
      </c>
      <c r="D17" s="157">
        <f>SUM(D6:D16)</f>
        <v>1</v>
      </c>
      <c r="E17" s="10"/>
      <c r="H17" s="19"/>
    </row>
    <row r="18" spans="1:10" x14ac:dyDescent="0.25">
      <c r="A18" s="5"/>
      <c r="B18" s="19"/>
      <c r="C18" s="19"/>
      <c r="D18" s="19"/>
      <c r="E18" s="10"/>
      <c r="H18" s="20"/>
    </row>
    <row r="19" spans="1:10" ht="17.25" x14ac:dyDescent="0.3">
      <c r="A19" s="27" t="s">
        <v>18</v>
      </c>
      <c r="B19" s="27"/>
      <c r="C19" s="27"/>
      <c r="D19" s="27"/>
      <c r="E19" s="54"/>
      <c r="F19" s="103"/>
      <c r="G19" s="104"/>
      <c r="H19" s="55"/>
    </row>
    <row r="20" spans="1:10" x14ac:dyDescent="0.25">
      <c r="A20" s="63" t="s">
        <v>19</v>
      </c>
      <c r="B20" s="59" t="s">
        <v>2</v>
      </c>
      <c r="C20" s="61" t="s">
        <v>3</v>
      </c>
      <c r="D20" s="159" t="s">
        <v>31</v>
      </c>
      <c r="E20" s="159" t="s">
        <v>241</v>
      </c>
      <c r="J20" s="18"/>
    </row>
    <row r="21" spans="1:10" ht="15.75" thickBot="1" x14ac:dyDescent="0.3">
      <c r="A21" s="163" t="s">
        <v>112</v>
      </c>
      <c r="B21" s="191">
        <f>'Table 2 calculations'!C10</f>
        <v>0</v>
      </c>
      <c r="C21" s="191">
        <f>'Table 2 calculations'!D10</f>
        <v>0</v>
      </c>
      <c r="D21" s="136"/>
      <c r="E21" s="5"/>
      <c r="J21" s="18"/>
    </row>
    <row r="22" spans="1:10" ht="16.5" thickTop="1" thickBot="1" x14ac:dyDescent="0.3">
      <c r="A22" s="163" t="s">
        <v>113</v>
      </c>
      <c r="B22" s="191">
        <f>'Table 2 calculations'!C11</f>
        <v>20.833333333333332</v>
      </c>
      <c r="C22" s="191">
        <f>'Table 2 calculations'!D11</f>
        <v>250</v>
      </c>
      <c r="D22" s="136"/>
      <c r="E22" s="158" t="s">
        <v>161</v>
      </c>
      <c r="J22" s="18"/>
    </row>
    <row r="23" spans="1:10" ht="16.5" thickTop="1" thickBot="1" x14ac:dyDescent="0.3">
      <c r="A23" s="163" t="s">
        <v>162</v>
      </c>
      <c r="B23" s="191">
        <f>'Table 2 calculations'!C12</f>
        <v>742.56003090827096</v>
      </c>
      <c r="C23" s="191">
        <f>'Table 2 calculations'!D12</f>
        <v>4455.3601854496255</v>
      </c>
      <c r="D23" s="136"/>
      <c r="E23" s="262">
        <f>'Table 2 calculations'!I58</f>
        <v>191959.64912280702</v>
      </c>
      <c r="I23" s="93"/>
      <c r="J23" s="18"/>
    </row>
    <row r="24" spans="1:10" ht="16.5" thickTop="1" thickBot="1" x14ac:dyDescent="0.3">
      <c r="A24" s="163" t="s">
        <v>163</v>
      </c>
      <c r="B24" s="191">
        <f>'Table 2 calculations'!C13</f>
        <v>722.74753090827096</v>
      </c>
      <c r="C24" s="191">
        <f>'Table 2 calculations'!D13</f>
        <v>4336.4851854496255</v>
      </c>
      <c r="E24" s="262">
        <f>'Table 2 calculations'!I59</f>
        <v>189122.80701754385</v>
      </c>
      <c r="J24" s="18"/>
    </row>
    <row r="25" spans="1:10" ht="16.5" thickTop="1" thickBot="1" x14ac:dyDescent="0.3">
      <c r="A25" s="163" t="s">
        <v>99</v>
      </c>
      <c r="B25" s="191">
        <f>'Table 2 calculations'!C14</f>
        <v>1.4409065092361384</v>
      </c>
      <c r="C25" s="191">
        <f>'Table 2 calculations'!D14</f>
        <v>17.29087811083366</v>
      </c>
      <c r="D25" s="23"/>
      <c r="J25" s="18"/>
    </row>
    <row r="26" spans="1:10" ht="16.5" thickTop="1" thickBot="1" x14ac:dyDescent="0.3">
      <c r="A26" s="164" t="s">
        <v>123</v>
      </c>
      <c r="B26" s="191">
        <f>'Table 2 calculations'!C15</f>
        <v>36.394695937027791</v>
      </c>
      <c r="C26" s="191">
        <f>'Table 2 calculations'!D15</f>
        <v>436.73635124433349</v>
      </c>
      <c r="D26" s="12"/>
      <c r="E26" s="24"/>
      <c r="H26" s="1"/>
      <c r="J26" s="18"/>
    </row>
    <row r="27" spans="1:10" ht="15.75" thickTop="1" x14ac:dyDescent="0.25">
      <c r="A27" s="165" t="s">
        <v>17</v>
      </c>
      <c r="B27" s="192">
        <f>SUM(B21:B26)</f>
        <v>1523.9764975961391</v>
      </c>
      <c r="C27" s="192">
        <f>SUM(C21:C26)</f>
        <v>9495.872600254419</v>
      </c>
      <c r="D27" s="1"/>
      <c r="E27" s="5"/>
      <c r="J27" s="7"/>
    </row>
    <row r="28" spans="1:10" ht="17.25" x14ac:dyDescent="0.3">
      <c r="A28" s="5"/>
      <c r="B28" s="19"/>
      <c r="C28" s="19"/>
      <c r="D28" s="27"/>
      <c r="E28" s="24"/>
      <c r="J28" s="1"/>
    </row>
    <row r="29" spans="1:10" ht="17.25" x14ac:dyDescent="0.3">
      <c r="A29" s="27" t="s">
        <v>24</v>
      </c>
      <c r="B29" s="27"/>
      <c r="C29" s="27"/>
      <c r="D29" s="1"/>
      <c r="E29" s="24"/>
      <c r="J29" s="1"/>
    </row>
    <row r="30" spans="1:10" x14ac:dyDescent="0.25">
      <c r="A30" s="29"/>
      <c r="B30" s="44"/>
      <c r="C30" s="28" t="s">
        <v>3</v>
      </c>
      <c r="D30" s="7"/>
      <c r="E30" s="5"/>
      <c r="F30" s="95"/>
      <c r="H30" s="19"/>
    </row>
    <row r="31" spans="1:10" x14ac:dyDescent="0.25">
      <c r="A31" s="70" t="s">
        <v>26</v>
      </c>
      <c r="B31" s="26"/>
      <c r="C31" s="77">
        <f>C27+D47</f>
        <v>66063.909560875938</v>
      </c>
      <c r="D31" s="1"/>
      <c r="E31" s="5"/>
      <c r="F31" s="1"/>
      <c r="G31" s="1"/>
      <c r="H31" s="19"/>
    </row>
    <row r="32" spans="1:10" x14ac:dyDescent="0.25">
      <c r="A32" s="70" t="s">
        <v>27</v>
      </c>
      <c r="B32" s="26"/>
      <c r="C32" s="77">
        <f>C17</f>
        <v>66063.909560875967</v>
      </c>
      <c r="D32" s="1"/>
      <c r="E32" s="2"/>
      <c r="H32" s="19"/>
    </row>
    <row r="33" spans="1:15" x14ac:dyDescent="0.25">
      <c r="A33" s="33" t="s">
        <v>29</v>
      </c>
      <c r="B33" s="34"/>
      <c r="C33" s="32">
        <f>C31-C32</f>
        <v>0</v>
      </c>
      <c r="D33" s="1"/>
      <c r="E33" s="1"/>
      <c r="H33" s="19"/>
    </row>
    <row r="34" spans="1:15" x14ac:dyDescent="0.25">
      <c r="A34" s="5"/>
      <c r="B34" s="19"/>
      <c r="C34" s="19"/>
      <c r="D34" s="1"/>
      <c r="E34" s="1"/>
      <c r="H34" s="5"/>
      <c r="J34" s="35"/>
    </row>
    <row r="35" spans="1:15" ht="17.25" x14ac:dyDescent="0.3">
      <c r="A35" s="27" t="s">
        <v>30</v>
      </c>
      <c r="B35" s="27"/>
      <c r="C35" s="27"/>
      <c r="D35" s="1"/>
      <c r="E35" s="1"/>
      <c r="H35" s="5"/>
      <c r="I35" s="1"/>
      <c r="J35" s="1"/>
    </row>
    <row r="36" spans="1:15" x14ac:dyDescent="0.25">
      <c r="A36" s="67" t="s">
        <v>31</v>
      </c>
      <c r="B36" s="59" t="s">
        <v>32</v>
      </c>
      <c r="C36" s="60" t="s">
        <v>33</v>
      </c>
      <c r="D36" s="61" t="s">
        <v>17</v>
      </c>
      <c r="E36" s="1"/>
      <c r="H36" s="1"/>
      <c r="I36" s="42" t="s">
        <v>101</v>
      </c>
    </row>
    <row r="37" spans="1:15" ht="15.75" thickBot="1" x14ac:dyDescent="0.3">
      <c r="A37" s="64" t="s">
        <v>34</v>
      </c>
      <c r="B37" s="267">
        <v>35</v>
      </c>
      <c r="C37" s="231">
        <v>35</v>
      </c>
      <c r="D37" s="230">
        <f>B37+C37</f>
        <v>70</v>
      </c>
      <c r="E37" s="4"/>
      <c r="F37" s="284" t="s">
        <v>0</v>
      </c>
      <c r="G37" s="285"/>
      <c r="H37" s="1"/>
    </row>
    <row r="38" spans="1:15" ht="19.5" thickBot="1" x14ac:dyDescent="0.35">
      <c r="A38" s="266" t="s">
        <v>35</v>
      </c>
      <c r="B38" s="269">
        <v>18.176698471918499</v>
      </c>
      <c r="C38" s="191">
        <f>B38</f>
        <v>18.176698471918499</v>
      </c>
      <c r="D38" s="91"/>
      <c r="F38" s="148"/>
      <c r="G38" s="149"/>
      <c r="H38" s="1"/>
    </row>
    <row r="39" spans="1:15" ht="18" thickBot="1" x14ac:dyDescent="0.35">
      <c r="A39" s="56" t="s">
        <v>36</v>
      </c>
      <c r="B39" s="268">
        <f>(B38*B37)*52</f>
        <v>33081.591218891663</v>
      </c>
      <c r="C39" s="192">
        <f>(C38*C37)*52</f>
        <v>33081.591218891663</v>
      </c>
      <c r="D39" s="191">
        <f>B39+C39</f>
        <v>66163.182437783325</v>
      </c>
      <c r="E39" s="71"/>
      <c r="F39" s="36" t="s">
        <v>4</v>
      </c>
      <c r="G39" s="74">
        <v>8000</v>
      </c>
      <c r="H39" s="1"/>
    </row>
    <row r="40" spans="1:15" ht="15.75" thickTop="1" x14ac:dyDescent="0.25">
      <c r="A40" s="65" t="s">
        <v>37</v>
      </c>
      <c r="B40" s="192">
        <f>-MIN(C11,G41)</f>
        <v>-13000</v>
      </c>
      <c r="C40" s="90"/>
      <c r="D40" s="92"/>
      <c r="E40" s="1"/>
      <c r="F40" s="36" t="s">
        <v>6</v>
      </c>
      <c r="G40" s="74">
        <v>5000</v>
      </c>
      <c r="H40" s="1"/>
      <c r="N40" s="1"/>
      <c r="O40" s="1"/>
    </row>
    <row r="41" spans="1:15" ht="15.75" thickBot="1" x14ac:dyDescent="0.3">
      <c r="A41" s="66" t="s">
        <v>38</v>
      </c>
      <c r="B41" s="240">
        <f>B39+B40</f>
        <v>20081.591218891663</v>
      </c>
      <c r="C41" s="240">
        <f>C39+C40</f>
        <v>33081.591218891663</v>
      </c>
      <c r="D41" s="241">
        <f>B41+C41</f>
        <v>53163.182437783325</v>
      </c>
      <c r="E41" s="1"/>
      <c r="F41" s="36"/>
      <c r="G41" s="73">
        <f>SUM(G39:G40)</f>
        <v>13000</v>
      </c>
      <c r="H41" s="4"/>
      <c r="N41" s="1"/>
      <c r="O41" s="1"/>
    </row>
    <row r="42" spans="1:15" ht="16.5" thickTop="1" thickBot="1" x14ac:dyDescent="0.3">
      <c r="A42" s="56" t="s">
        <v>39</v>
      </c>
      <c r="B42" s="270">
        <f>'Table 4 calculations'!C8</f>
        <v>539.22993686793404</v>
      </c>
      <c r="C42" s="270">
        <f>'Table 4 calculations'!D8</f>
        <v>539.22993686793404</v>
      </c>
      <c r="D42" s="240">
        <f t="shared" ref="D42:D46" si="1">B42+C42</f>
        <v>1078.4598737358681</v>
      </c>
      <c r="E42" s="1"/>
      <c r="H42" s="1"/>
      <c r="N42" s="1"/>
      <c r="O42" s="1"/>
    </row>
    <row r="43" spans="1:15" ht="16.5" thickTop="1" thickBot="1" x14ac:dyDescent="0.3">
      <c r="A43" s="56" t="s">
        <v>40</v>
      </c>
      <c r="B43" s="243">
        <f>'Table 4 calculations'!C13</f>
        <v>1464.2887653351374</v>
      </c>
      <c r="C43" s="243">
        <f>'Table 4 calculations'!D13</f>
        <v>1464.2887653351374</v>
      </c>
      <c r="D43" s="240">
        <f t="shared" si="1"/>
        <v>2928.5775306702749</v>
      </c>
      <c r="F43" s="253" t="s">
        <v>283</v>
      </c>
      <c r="G43" s="254"/>
      <c r="H43" s="254"/>
      <c r="I43" s="255"/>
      <c r="N43" s="1"/>
      <c r="O43" s="1"/>
    </row>
    <row r="44" spans="1:15" ht="15.75" thickTop="1" x14ac:dyDescent="0.25">
      <c r="A44" s="56" t="s">
        <v>41</v>
      </c>
      <c r="B44" s="240">
        <f>MAX(0,((B41*'Table 4 calculations'!D40)-(('Table 4 calculations'!D16+G46+B42+B43+'Table 4 calculations'!D22)*'Table 4 calculations'!D21)))</f>
        <v>583.47003798830156</v>
      </c>
      <c r="C44" s="240">
        <f>MAX(0,(C41*'Table 4 calculations'!D40-('Table 4 calculations'!D16+'Table 4 calculations'!D22+C42+C43+I57+I50)*'Table 4 calculations'!D21))</f>
        <v>2524.6608775032887</v>
      </c>
      <c r="D44" s="240">
        <f t="shared" si="1"/>
        <v>3108.1309154915903</v>
      </c>
      <c r="F44" s="273" t="s">
        <v>32</v>
      </c>
      <c r="G44" s="274"/>
      <c r="H44" s="273" t="s">
        <v>33</v>
      </c>
      <c r="I44" s="274"/>
      <c r="N44" s="1"/>
      <c r="O44" s="1"/>
    </row>
    <row r="45" spans="1:15" ht="15.75" thickBot="1" x14ac:dyDescent="0.3">
      <c r="A45" s="56" t="s">
        <v>42</v>
      </c>
      <c r="B45" s="240">
        <f>MAX(0,((B41*'Table 4 calculations'!D32)-(('Table 4 calculations'!C16+G47+B42+B43)*'Table 4 calculations'!C21)))</f>
        <v>658.99506451511729</v>
      </c>
      <c r="C45" s="240">
        <f>MAX(0,(((C41*'Table 4 calculations'!D32)-(('Table 4 calculations'!C16+C42+C43+I55)*'Table 4 calculations'!C21))-'Table 4 calculations'!C28))</f>
        <v>1820.982092748955</v>
      </c>
      <c r="D45" s="240">
        <f>B45+C45</f>
        <v>2479.977157264072</v>
      </c>
      <c r="F45" s="256" t="s">
        <v>284</v>
      </c>
      <c r="G45" s="263">
        <f>'Table 4 calculations'!C58</f>
        <v>13000</v>
      </c>
      <c r="H45" s="254" t="s">
        <v>285</v>
      </c>
      <c r="I45" s="257"/>
      <c r="N45" s="1"/>
      <c r="O45" s="1"/>
    </row>
    <row r="46" spans="1:15" ht="16.5" thickTop="1" thickBot="1" x14ac:dyDescent="0.3">
      <c r="A46" s="56" t="s">
        <v>43</v>
      </c>
      <c r="B46" s="240">
        <f>IF(D41&lt;50704, IF((0.25*(C12-B41*0.03) - 0.05*(D41-26644))&gt;0, -1*(0.25*(C12-B41*0.03) - 0.05*(D41-26644)),0),0)</f>
        <v>0</v>
      </c>
      <c r="C46" s="243">
        <f>'Table 4 calculations'!C53</f>
        <v>0</v>
      </c>
      <c r="D46" s="240">
        <f t="shared" si="1"/>
        <v>0</v>
      </c>
      <c r="E46" s="4"/>
      <c r="F46" s="256" t="s">
        <v>290</v>
      </c>
      <c r="G46" s="260">
        <f>C12-B41*'Table 4 calculations'!D20</f>
        <v>1375.2722634332501</v>
      </c>
      <c r="H46" s="275" t="s">
        <v>20</v>
      </c>
      <c r="I46" s="276"/>
      <c r="J46" s="1"/>
      <c r="K46" s="1"/>
      <c r="L46" s="1"/>
      <c r="M46" s="4"/>
      <c r="N46" s="4"/>
      <c r="O46" s="1"/>
    </row>
    <row r="47" spans="1:15" ht="16.5" thickTop="1" thickBot="1" x14ac:dyDescent="0.3">
      <c r="A47" s="64" t="s">
        <v>44</v>
      </c>
      <c r="B47" s="243">
        <f>B39-SUM(B42:B46)</f>
        <v>29835.607414185171</v>
      </c>
      <c r="C47" s="243">
        <f>C39-SUM(C42:C46)</f>
        <v>26732.429546436346</v>
      </c>
      <c r="D47" s="240">
        <f>B47+C47</f>
        <v>56568.036960621517</v>
      </c>
      <c r="E47" s="1"/>
      <c r="F47" s="256" t="s">
        <v>291</v>
      </c>
      <c r="G47" s="260">
        <f>C12-B41*'Table 4 calculations'!C20</f>
        <v>1375.2722634332501</v>
      </c>
      <c r="H47" s="13" t="s">
        <v>21</v>
      </c>
      <c r="I47" s="11">
        <f>'Family Expenses'!B34*6</f>
        <v>972</v>
      </c>
      <c r="J47" s="1"/>
      <c r="K47" s="1"/>
      <c r="L47" s="1"/>
      <c r="M47" s="1"/>
      <c r="N47" s="1"/>
      <c r="O47" s="1"/>
    </row>
    <row r="48" spans="1:15" ht="15.75" thickTop="1" x14ac:dyDescent="0.25">
      <c r="A48" s="68" t="s">
        <v>45</v>
      </c>
      <c r="B48" s="240">
        <f>B47/12</f>
        <v>2486.3006178487644</v>
      </c>
      <c r="C48" s="240">
        <f>C47/12</f>
        <v>2227.702462203029</v>
      </c>
      <c r="D48" s="240">
        <f>B48+C48</f>
        <v>4714.0030800517934</v>
      </c>
      <c r="F48" s="258"/>
      <c r="G48" s="259"/>
      <c r="H48" s="13" t="s">
        <v>22</v>
      </c>
      <c r="I48" s="252">
        <v>0</v>
      </c>
      <c r="J48" s="1"/>
      <c r="K48" s="1"/>
      <c r="L48" s="1"/>
      <c r="M48" s="1"/>
      <c r="N48" s="1"/>
      <c r="O48" s="1"/>
    </row>
    <row r="49" spans="1:15" x14ac:dyDescent="0.25">
      <c r="F49" s="1"/>
      <c r="H49" s="13" t="s">
        <v>23</v>
      </c>
      <c r="I49" s="252">
        <v>0</v>
      </c>
      <c r="J49" s="4"/>
      <c r="K49" s="1"/>
      <c r="L49" s="1"/>
      <c r="M49" s="1"/>
      <c r="N49" s="1"/>
      <c r="O49" s="1"/>
    </row>
    <row r="50" spans="1:15" ht="17.25" x14ac:dyDescent="0.3">
      <c r="A50" s="71" t="s">
        <v>46</v>
      </c>
      <c r="B50" s="71"/>
      <c r="C50" s="71"/>
      <c r="D50" s="71"/>
      <c r="H50" s="31" t="s">
        <v>17</v>
      </c>
      <c r="I50" s="30">
        <f>SUM(I47:I49)</f>
        <v>972</v>
      </c>
      <c r="J50" s="1"/>
      <c r="K50" s="1"/>
      <c r="L50" s="1"/>
      <c r="M50" s="1"/>
      <c r="N50" s="1"/>
      <c r="O50" s="1"/>
    </row>
    <row r="51" spans="1:15" x14ac:dyDescent="0.25">
      <c r="A51" s="279" t="s">
        <v>47</v>
      </c>
      <c r="B51" s="280"/>
      <c r="C51" s="281"/>
      <c r="D51" s="77">
        <f xml:space="preserve"> D39</f>
        <v>66163.182437783325</v>
      </c>
      <c r="J51" s="1"/>
      <c r="K51" s="1"/>
      <c r="L51" s="1"/>
      <c r="M51" s="1"/>
      <c r="N51" s="1"/>
      <c r="O51" s="4"/>
    </row>
    <row r="52" spans="1:15" x14ac:dyDescent="0.25">
      <c r="A52" s="279" t="s">
        <v>48</v>
      </c>
      <c r="B52" s="280"/>
      <c r="C52" s="281"/>
      <c r="D52" s="77">
        <f>SUM(B42:B45)+SUM(C42:C45)</f>
        <v>9595.1454771618046</v>
      </c>
      <c r="H52" s="277" t="s">
        <v>25</v>
      </c>
      <c r="I52" s="278"/>
      <c r="J52" s="1"/>
      <c r="K52" s="1"/>
      <c r="L52" s="1"/>
      <c r="M52" s="1"/>
      <c r="N52" s="1"/>
      <c r="O52" s="1"/>
    </row>
    <row r="53" spans="1:15" ht="15.75" x14ac:dyDescent="0.25">
      <c r="A53" s="279" t="s">
        <v>49</v>
      </c>
      <c r="B53" s="280"/>
      <c r="C53" s="281"/>
      <c r="D53" s="77">
        <f>D51-D52</f>
        <v>56568.036960621524</v>
      </c>
      <c r="H53" s="13" t="s">
        <v>21</v>
      </c>
      <c r="I53" s="265">
        <f>'Family Expenses'!B34*6*0.5</f>
        <v>486</v>
      </c>
      <c r="J53" s="1" t="s">
        <v>295</v>
      </c>
      <c r="K53" s="1"/>
      <c r="L53" s="1"/>
      <c r="M53" s="1"/>
      <c r="N53" s="1"/>
      <c r="O53" s="1"/>
    </row>
    <row r="54" spans="1:15" x14ac:dyDescent="0.25">
      <c r="A54" s="279" t="s">
        <v>128</v>
      </c>
      <c r="B54" s="280"/>
      <c r="C54" s="281"/>
      <c r="D54" s="77">
        <f>C27</f>
        <v>9495.872600254419</v>
      </c>
      <c r="H54" s="13" t="s">
        <v>28</v>
      </c>
      <c r="I54" s="252">
        <v>0</v>
      </c>
      <c r="J54" s="1"/>
      <c r="K54" s="1"/>
      <c r="L54" s="1"/>
      <c r="M54" s="1"/>
      <c r="N54" s="1"/>
      <c r="O54" s="1"/>
    </row>
    <row r="55" spans="1:15" x14ac:dyDescent="0.25">
      <c r="A55" s="279" t="s">
        <v>50</v>
      </c>
      <c r="B55" s="280"/>
      <c r="C55" s="281"/>
      <c r="D55" s="77">
        <f>D53+D54</f>
        <v>66063.909560875938</v>
      </c>
      <c r="H55" s="31" t="s">
        <v>17</v>
      </c>
      <c r="I55" s="30">
        <f>SUM(I53:I54)</f>
        <v>486</v>
      </c>
      <c r="J55" s="1"/>
      <c r="K55" s="4"/>
      <c r="O55" s="1"/>
    </row>
    <row r="56" spans="1:15" x14ac:dyDescent="0.25">
      <c r="A56" s="279" t="s">
        <v>51</v>
      </c>
      <c r="B56" s="280"/>
      <c r="C56" s="281"/>
      <c r="D56" s="77">
        <f>C17</f>
        <v>66063.909560875967</v>
      </c>
      <c r="I56" s="1"/>
      <c r="J56" s="1"/>
      <c r="K56" s="1"/>
      <c r="O56" s="1"/>
    </row>
    <row r="57" spans="1:15" x14ac:dyDescent="0.25">
      <c r="A57" s="279" t="s">
        <v>52</v>
      </c>
      <c r="B57" s="280"/>
      <c r="C57" s="281"/>
      <c r="D57" s="77">
        <f>D55-D56</f>
        <v>0</v>
      </c>
      <c r="H57" s="42" t="s">
        <v>292</v>
      </c>
      <c r="I57" s="230">
        <f>0.5*'Family Expenses'!B27</f>
        <v>462</v>
      </c>
      <c r="J57" s="1"/>
      <c r="K57" s="1"/>
      <c r="O57" s="1"/>
    </row>
    <row r="58" spans="1:15" x14ac:dyDescent="0.25">
      <c r="I58" s="1"/>
      <c r="J58" s="1"/>
      <c r="K58" s="1"/>
      <c r="O58" s="1"/>
    </row>
    <row r="59" spans="1:15" x14ac:dyDescent="0.25">
      <c r="I59" s="1"/>
      <c r="J59" s="1"/>
      <c r="K59" s="1"/>
      <c r="O59" s="1"/>
    </row>
    <row r="60" spans="1:15" x14ac:dyDescent="0.25">
      <c r="K60" s="1"/>
    </row>
    <row r="61" spans="1:15" x14ac:dyDescent="0.25">
      <c r="K61" s="1"/>
    </row>
    <row r="62" spans="1:15" x14ac:dyDescent="0.25">
      <c r="K62" s="1"/>
    </row>
    <row r="63" spans="1:15" x14ac:dyDescent="0.25">
      <c r="K63" s="1"/>
    </row>
    <row r="64" spans="1:15" x14ac:dyDescent="0.25">
      <c r="K64" s="1"/>
    </row>
  </sheetData>
  <mergeCells count="14">
    <mergeCell ref="H44:I44"/>
    <mergeCell ref="H46:I46"/>
    <mergeCell ref="H52:I52"/>
    <mergeCell ref="A57:C57"/>
    <mergeCell ref="A1:G1"/>
    <mergeCell ref="A2:B2"/>
    <mergeCell ref="A51:C51"/>
    <mergeCell ref="A52:C52"/>
    <mergeCell ref="A53:C53"/>
    <mergeCell ref="A54:C54"/>
    <mergeCell ref="A55:C55"/>
    <mergeCell ref="A56:C56"/>
    <mergeCell ref="F37:G37"/>
    <mergeCell ref="F44:G44"/>
  </mergeCells>
  <pageMargins left="0.7" right="0.7" top="0.75" bottom="0.75" header="0.3" footer="0.3"/>
  <pageSetup orientation="portrait"/>
  <legacyDrawing r:id="rId1"/>
  <tableParts count="3">
    <tablePart r:id="rId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A10" sqref="A10"/>
    </sheetView>
  </sheetViews>
  <sheetFormatPr defaultRowHeight="15" x14ac:dyDescent="0.25"/>
  <sheetData>
    <row r="1" spans="1:3" x14ac:dyDescent="0.25">
      <c r="A1" s="42" t="s">
        <v>1</v>
      </c>
      <c r="B1" s="109" t="s">
        <v>2</v>
      </c>
      <c r="C1" s="42" t="s">
        <v>160</v>
      </c>
    </row>
    <row r="2" spans="1:3" x14ac:dyDescent="0.25">
      <c r="A2" s="42" t="s">
        <v>5</v>
      </c>
      <c r="B2" s="37">
        <v>1052.7477866312527</v>
      </c>
      <c r="C2" s="310">
        <v>0.19122352164057316</v>
      </c>
    </row>
    <row r="3" spans="1:3" x14ac:dyDescent="0.25">
      <c r="A3" s="42" t="s">
        <v>7</v>
      </c>
      <c r="B3" s="37">
        <v>184.85291113381001</v>
      </c>
      <c r="C3" s="310">
        <v>3.3577106597993282E-2</v>
      </c>
    </row>
    <row r="4" spans="1:3" x14ac:dyDescent="0.25">
      <c r="A4" s="42" t="s">
        <v>8</v>
      </c>
      <c r="B4" s="37">
        <v>819.71</v>
      </c>
      <c r="C4" s="310">
        <v>0.14889400378183695</v>
      </c>
    </row>
    <row r="5" spans="1:3" x14ac:dyDescent="0.25">
      <c r="A5" s="42" t="s">
        <v>9</v>
      </c>
      <c r="B5" s="37">
        <v>294.71600000000001</v>
      </c>
      <c r="C5" s="310">
        <v>5.353288994713723E-2</v>
      </c>
    </row>
    <row r="6" spans="1:3" x14ac:dyDescent="0.25">
      <c r="A6" s="42" t="s">
        <v>10</v>
      </c>
      <c r="B6" s="37">
        <v>550.61419068736143</v>
      </c>
      <c r="C6" s="310">
        <v>0.1000148240115859</v>
      </c>
    </row>
    <row r="7" spans="1:3" x14ac:dyDescent="0.25">
      <c r="A7" s="42" t="s">
        <v>11</v>
      </c>
      <c r="B7" s="37">
        <v>1179.6625000000001</v>
      </c>
      <c r="C7" s="310">
        <v>0.21427660115930175</v>
      </c>
    </row>
    <row r="8" spans="1:3" x14ac:dyDescent="0.25">
      <c r="A8" s="42" t="s">
        <v>12</v>
      </c>
      <c r="B8" s="37">
        <v>164.81</v>
      </c>
      <c r="C8" s="310">
        <v>2.9936466266465636E-2</v>
      </c>
    </row>
    <row r="9" spans="1:3" x14ac:dyDescent="0.25">
      <c r="A9" s="42" t="s">
        <v>299</v>
      </c>
      <c r="B9" s="37">
        <v>212.06148217238248</v>
      </c>
      <c r="C9" s="310">
        <v>3.8519333823616476E-2</v>
      </c>
    </row>
    <row r="10" spans="1:3" x14ac:dyDescent="0.25">
      <c r="A10" s="42" t="s">
        <v>14</v>
      </c>
      <c r="B10" s="37">
        <v>113</v>
      </c>
      <c r="C10" s="310">
        <v>2.0525579079610563E-2</v>
      </c>
    </row>
    <row r="11" spans="1:3" x14ac:dyDescent="0.25">
      <c r="A11" s="42" t="s">
        <v>15</v>
      </c>
      <c r="B11" s="37">
        <v>466.57546305742864</v>
      </c>
      <c r="C11" s="310">
        <v>8.474983684593955E-2</v>
      </c>
    </row>
    <row r="12" spans="1:3" x14ac:dyDescent="0.25">
      <c r="A12" s="42" t="s">
        <v>16</v>
      </c>
      <c r="B12" s="37">
        <v>466.57546305742864</v>
      </c>
      <c r="C12" s="310">
        <v>8.474983684593955E-2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9"/>
  <sheetViews>
    <sheetView topLeftCell="A32" workbookViewId="0">
      <selection activeCell="M32" sqref="M32"/>
    </sheetView>
  </sheetViews>
  <sheetFormatPr defaultColWidth="8.85546875" defaultRowHeight="15" x14ac:dyDescent="0.25"/>
  <cols>
    <col min="1" max="1" width="3.140625" style="42" customWidth="1"/>
    <col min="2" max="2" width="23" customWidth="1"/>
    <col min="7" max="7" width="13.140625" customWidth="1"/>
    <col min="8" max="8" width="30.28515625" customWidth="1"/>
    <col min="9" max="9" width="12.42578125" customWidth="1"/>
    <col min="12" max="12" width="11.7109375" customWidth="1"/>
  </cols>
  <sheetData>
    <row r="1" spans="2:19" x14ac:dyDescent="0.25">
      <c r="B1" t="s">
        <v>167</v>
      </c>
    </row>
    <row r="2" spans="2:19" x14ac:dyDescent="0.25">
      <c r="B2" t="s">
        <v>168</v>
      </c>
    </row>
    <row r="4" spans="2:19" x14ac:dyDescent="0.25">
      <c r="B4" t="s">
        <v>169</v>
      </c>
    </row>
    <row r="6" spans="2:19" x14ac:dyDescent="0.25">
      <c r="B6" t="s">
        <v>170</v>
      </c>
    </row>
    <row r="8" spans="2:19" ht="18" thickBot="1" x14ac:dyDescent="0.35">
      <c r="B8" s="167" t="s">
        <v>18</v>
      </c>
      <c r="C8" s="42"/>
      <c r="D8" s="42"/>
      <c r="E8" s="42"/>
      <c r="H8" s="54" t="s">
        <v>201</v>
      </c>
      <c r="I8" s="42"/>
      <c r="J8" s="42"/>
      <c r="K8" s="42"/>
      <c r="M8" s="213" t="s">
        <v>209</v>
      </c>
      <c r="N8" s="213"/>
      <c r="O8" s="213"/>
      <c r="P8" s="213"/>
      <c r="Q8" s="213"/>
      <c r="R8" s="213"/>
      <c r="S8" s="213"/>
    </row>
    <row r="9" spans="2:19" x14ac:dyDescent="0.25">
      <c r="B9" s="168" t="s">
        <v>19</v>
      </c>
      <c r="C9" s="169" t="s">
        <v>171</v>
      </c>
      <c r="D9" s="169" t="s">
        <v>172</v>
      </c>
      <c r="E9" s="170" t="s">
        <v>173</v>
      </c>
      <c r="H9" s="199" t="s">
        <v>200</v>
      </c>
      <c r="I9" s="200" t="s">
        <v>32</v>
      </c>
      <c r="J9" s="200" t="s">
        <v>33</v>
      </c>
      <c r="K9" s="201" t="s">
        <v>17</v>
      </c>
      <c r="M9" s="229" t="s">
        <v>242</v>
      </c>
      <c r="N9" s="213"/>
      <c r="O9" s="213"/>
    </row>
    <row r="10" spans="2:19" ht="15.75" thickBot="1" x14ac:dyDescent="0.3">
      <c r="B10" s="171" t="s">
        <v>112</v>
      </c>
      <c r="C10" s="172">
        <f>D10/12</f>
        <v>0</v>
      </c>
      <c r="D10" s="173">
        <f>I25</f>
        <v>0</v>
      </c>
      <c r="E10" s="174"/>
      <c r="H10" s="202" t="s">
        <v>191</v>
      </c>
      <c r="I10" s="207">
        <f>'1st time calculation'!B39</f>
        <v>33081.591218891663</v>
      </c>
      <c r="J10" s="207">
        <f>'1st time calculation'!C39</f>
        <v>33081.591218891663</v>
      </c>
      <c r="K10" s="184">
        <f>'1st time calculation'!D39</f>
        <v>66163.182437783325</v>
      </c>
    </row>
    <row r="11" spans="2:19" ht="16.5" thickTop="1" thickBot="1" x14ac:dyDescent="0.3">
      <c r="B11" s="171" t="s">
        <v>113</v>
      </c>
      <c r="C11" s="172">
        <f>D11/12</f>
        <v>20.833333333333332</v>
      </c>
      <c r="D11" s="173">
        <f>I33</f>
        <v>250</v>
      </c>
      <c r="E11" s="174"/>
      <c r="H11" s="202" t="s">
        <v>192</v>
      </c>
      <c r="I11" s="207">
        <f>-'1st time calculation'!B40</f>
        <v>13000</v>
      </c>
      <c r="J11" s="207"/>
      <c r="K11" s="184">
        <f>SUM(I11:J11)</f>
        <v>13000</v>
      </c>
    </row>
    <row r="12" spans="2:19" ht="16.5" thickTop="1" thickBot="1" x14ac:dyDescent="0.3">
      <c r="B12" s="171" t="s">
        <v>174</v>
      </c>
      <c r="C12" s="175">
        <f>D12/6</f>
        <v>742.56003090827096</v>
      </c>
      <c r="D12" s="176">
        <f>I56</f>
        <v>4455.3601854496255</v>
      </c>
      <c r="E12" s="174"/>
      <c r="H12" s="202" t="s">
        <v>193</v>
      </c>
      <c r="I12" s="208">
        <f>'1st time calculation'!B40</f>
        <v>-13000</v>
      </c>
      <c r="J12" s="208"/>
      <c r="K12" s="184">
        <f>SUM(I12:J12)</f>
        <v>-13000</v>
      </c>
    </row>
    <row r="13" spans="2:19" ht="16.5" thickTop="1" thickBot="1" x14ac:dyDescent="0.3">
      <c r="B13" s="171" t="s">
        <v>175</v>
      </c>
      <c r="C13" s="175">
        <f>D13/6</f>
        <v>722.74753090827096</v>
      </c>
      <c r="D13" s="176">
        <f>I57</f>
        <v>4336.4851854496255</v>
      </c>
      <c r="E13" s="174"/>
      <c r="H13" s="209" t="s">
        <v>194</v>
      </c>
      <c r="I13" s="203">
        <f>I10+I12</f>
        <v>20081.591218891663</v>
      </c>
      <c r="J13" s="203">
        <f>J10+J12</f>
        <v>33081.591218891663</v>
      </c>
      <c r="K13" s="210">
        <f>K10+K12</f>
        <v>53163.182437783325</v>
      </c>
    </row>
    <row r="14" spans="2:19" ht="16.5" thickTop="1" thickBot="1" x14ac:dyDescent="0.3">
      <c r="B14" s="171" t="s">
        <v>176</v>
      </c>
      <c r="C14" s="177">
        <f>D14/12</f>
        <v>1.4409065092361384</v>
      </c>
      <c r="D14" s="178">
        <f>I67</f>
        <v>17.29087811083366</v>
      </c>
      <c r="E14" s="174"/>
      <c r="H14" s="202" t="s">
        <v>195</v>
      </c>
      <c r="I14" s="207">
        <f>'1st time calculation'!B42</f>
        <v>539.22993686793404</v>
      </c>
      <c r="J14" s="207">
        <f>'1st time calculation'!C42</f>
        <v>539.22993686793404</v>
      </c>
      <c r="K14" s="184">
        <f>I14+J14</f>
        <v>1078.4598737358681</v>
      </c>
    </row>
    <row r="15" spans="2:19" ht="16.5" thickTop="1" thickBot="1" x14ac:dyDescent="0.3">
      <c r="B15" s="171" t="s">
        <v>123</v>
      </c>
      <c r="C15" s="175">
        <f>D15/12</f>
        <v>36.394695937027791</v>
      </c>
      <c r="D15" s="176">
        <f>I76</f>
        <v>436.73635124433349</v>
      </c>
      <c r="E15" s="174"/>
      <c r="H15" s="202" t="s">
        <v>196</v>
      </c>
      <c r="I15" s="207">
        <f>'1st time calculation'!B43</f>
        <v>1464.2887653351374</v>
      </c>
      <c r="J15" s="207">
        <f>'1st time calculation'!C43</f>
        <v>1464.2887653351374</v>
      </c>
      <c r="K15" s="184">
        <f t="shared" ref="K15:K17" si="0">I15+J15</f>
        <v>2928.5775306702749</v>
      </c>
    </row>
    <row r="16" spans="2:19" ht="16.5" thickTop="1" thickBot="1" x14ac:dyDescent="0.3">
      <c r="B16" s="171"/>
      <c r="C16" s="179"/>
      <c r="D16" s="180"/>
      <c r="E16" s="174"/>
      <c r="H16" s="202" t="s">
        <v>197</v>
      </c>
      <c r="I16" s="207">
        <f>'1st time calculation'!B44</f>
        <v>583.47003798830156</v>
      </c>
      <c r="J16" s="207">
        <f>'1st time calculation'!C44</f>
        <v>2524.6608775032887</v>
      </c>
      <c r="K16" s="184">
        <f t="shared" si="0"/>
        <v>3108.1309154915903</v>
      </c>
    </row>
    <row r="17" spans="2:11" ht="16.5" thickTop="1" thickBot="1" x14ac:dyDescent="0.3">
      <c r="B17" s="171"/>
      <c r="C17" s="179"/>
      <c r="D17" s="180"/>
      <c r="E17" s="174"/>
      <c r="H17" s="202" t="s">
        <v>198</v>
      </c>
      <c r="I17" s="207">
        <f>'1st time calculation'!B45</f>
        <v>658.99506451511729</v>
      </c>
      <c r="J17" s="207">
        <f>'1st time calculation'!C45</f>
        <v>1820.982092748955</v>
      </c>
      <c r="K17" s="184">
        <f t="shared" si="0"/>
        <v>2479.977157264072</v>
      </c>
    </row>
    <row r="18" spans="2:11" ht="16.5" thickTop="1" thickBot="1" x14ac:dyDescent="0.3">
      <c r="B18" s="171"/>
      <c r="C18" s="95"/>
      <c r="D18" s="95"/>
      <c r="E18" s="174"/>
      <c r="H18" s="204" t="s">
        <v>199</v>
      </c>
      <c r="I18" s="205">
        <f>I10-SUM(I14:I17)</f>
        <v>29835.607414185171</v>
      </c>
      <c r="J18" s="205">
        <f>J10-SUM(J14:J17)</f>
        <v>26732.429546436346</v>
      </c>
      <c r="K18" s="206">
        <f>SUM(I18:J18)</f>
        <v>56568.036960621517</v>
      </c>
    </row>
    <row r="19" spans="2:11" ht="15.75" thickBot="1" x14ac:dyDescent="0.3">
      <c r="B19" s="181"/>
      <c r="C19" s="182"/>
      <c r="D19" s="182"/>
      <c r="E19" s="183"/>
    </row>
    <row r="20" spans="2:11" ht="15.75" thickBot="1" x14ac:dyDescent="0.3">
      <c r="H20" s="291" t="s">
        <v>185</v>
      </c>
      <c r="I20" s="292"/>
    </row>
    <row r="21" spans="2:11" ht="18.75" x14ac:dyDescent="0.3">
      <c r="B21" s="289" t="s">
        <v>177</v>
      </c>
      <c r="C21" s="290"/>
      <c r="D21" s="42"/>
      <c r="E21" s="42"/>
      <c r="F21" s="42"/>
      <c r="G21" s="42"/>
      <c r="H21" s="193" t="s">
        <v>186</v>
      </c>
      <c r="I21" s="194">
        <v>20000</v>
      </c>
    </row>
    <row r="22" spans="2:11" x14ac:dyDescent="0.25">
      <c r="B22" s="171" t="s">
        <v>178</v>
      </c>
      <c r="C22" s="184">
        <f>COUNTIF(C23:C24,"&lt;18")</f>
        <v>2</v>
      </c>
      <c r="D22" s="42"/>
      <c r="E22" s="42"/>
      <c r="F22" s="42"/>
      <c r="G22" s="42"/>
      <c r="H22" s="193" t="s">
        <v>187</v>
      </c>
      <c r="I22" s="194">
        <v>250</v>
      </c>
    </row>
    <row r="23" spans="2:11" x14ac:dyDescent="0.25">
      <c r="B23" s="171" t="s">
        <v>179</v>
      </c>
      <c r="C23" s="185">
        <v>2</v>
      </c>
      <c r="D23" s="42"/>
      <c r="E23" s="42"/>
      <c r="F23" s="42"/>
      <c r="G23" s="42"/>
      <c r="H23" s="193" t="s">
        <v>188</v>
      </c>
      <c r="I23" s="195">
        <v>2.5000000000000001E-2</v>
      </c>
    </row>
    <row r="24" spans="2:11" x14ac:dyDescent="0.25">
      <c r="B24" s="171" t="s">
        <v>180</v>
      </c>
      <c r="C24" s="185">
        <v>7</v>
      </c>
      <c r="D24" s="42"/>
      <c r="E24" s="42"/>
      <c r="F24" s="42"/>
      <c r="G24" s="42"/>
      <c r="H24" s="193" t="s">
        <v>189</v>
      </c>
      <c r="I24" s="196">
        <v>0.05</v>
      </c>
    </row>
    <row r="25" spans="2:11" ht="15.75" thickBot="1" x14ac:dyDescent="0.3">
      <c r="B25" s="171"/>
      <c r="C25" s="174"/>
      <c r="D25" s="42"/>
      <c r="E25" s="42"/>
      <c r="F25" s="42"/>
      <c r="G25" s="42"/>
      <c r="H25" s="197" t="s">
        <v>190</v>
      </c>
      <c r="I25" s="198">
        <f>MAX(0,(I22*IF(C22=1,I23,IF(C22=2,I24,"error")))-((K13-I21)*IF(C22=1,I23,IF(C22=2,I24,"error"))))</f>
        <v>0</v>
      </c>
    </row>
    <row r="26" spans="2:11" ht="15.75" thickBot="1" x14ac:dyDescent="0.3">
      <c r="B26" s="186" t="s">
        <v>181</v>
      </c>
      <c r="C26" s="187">
        <v>0</v>
      </c>
      <c r="D26" s="43" t="s">
        <v>182</v>
      </c>
      <c r="E26" s="42"/>
      <c r="F26" s="42"/>
      <c r="G26" s="42"/>
    </row>
    <row r="27" spans="2:11" x14ac:dyDescent="0.25">
      <c r="B27" s="186" t="s">
        <v>181</v>
      </c>
      <c r="C27" s="188">
        <f>C26*0</f>
        <v>0</v>
      </c>
      <c r="D27" s="43" t="s">
        <v>183</v>
      </c>
      <c r="E27" s="42"/>
      <c r="F27" s="42"/>
      <c r="G27" s="42"/>
      <c r="H27" s="291" t="s">
        <v>202</v>
      </c>
      <c r="I27" s="292"/>
    </row>
    <row r="28" spans="2:11" ht="15.75" thickBot="1" x14ac:dyDescent="0.3">
      <c r="B28" s="189" t="s">
        <v>181</v>
      </c>
      <c r="C28" s="190">
        <f>C27</f>
        <v>0</v>
      </c>
      <c r="D28" s="43" t="s">
        <v>184</v>
      </c>
      <c r="E28" s="42"/>
      <c r="F28" s="42"/>
      <c r="G28" s="42"/>
      <c r="H28" s="193" t="s">
        <v>203</v>
      </c>
      <c r="I28" s="194">
        <v>250</v>
      </c>
    </row>
    <row r="29" spans="2:11" x14ac:dyDescent="0.25">
      <c r="H29" s="193" t="s">
        <v>204</v>
      </c>
      <c r="I29" s="211">
        <v>0.04</v>
      </c>
    </row>
    <row r="30" spans="2:11" x14ac:dyDescent="0.25">
      <c r="H30" s="193" t="s">
        <v>205</v>
      </c>
      <c r="I30" s="194">
        <v>3750</v>
      </c>
    </row>
    <row r="31" spans="2:11" x14ac:dyDescent="0.25">
      <c r="H31" s="193" t="s">
        <v>206</v>
      </c>
      <c r="I31" s="211">
        <v>0.05</v>
      </c>
    </row>
    <row r="32" spans="2:11" x14ac:dyDescent="0.25">
      <c r="H32" s="193" t="s">
        <v>207</v>
      </c>
      <c r="I32" s="212">
        <v>20921</v>
      </c>
    </row>
    <row r="33" spans="8:10" ht="15.75" thickBot="1" x14ac:dyDescent="0.3">
      <c r="H33" s="197" t="s">
        <v>208</v>
      </c>
      <c r="I33" s="198">
        <f>MIN(I28,(I29*(K10-I30))-(I31*(K13-I32)))</f>
        <v>250</v>
      </c>
    </row>
    <row r="34" spans="8:10" ht="15.75" thickBot="1" x14ac:dyDescent="0.3"/>
    <row r="35" spans="8:10" x14ac:dyDescent="0.25">
      <c r="H35" s="291" t="s">
        <v>210</v>
      </c>
      <c r="I35" s="292"/>
      <c r="J35" s="42"/>
    </row>
    <row r="36" spans="8:10" x14ac:dyDescent="0.25">
      <c r="H36" s="214" t="s">
        <v>211</v>
      </c>
      <c r="I36" s="174"/>
      <c r="J36" s="42"/>
    </row>
    <row r="37" spans="8:10" x14ac:dyDescent="0.25">
      <c r="H37" s="215" t="s">
        <v>212</v>
      </c>
      <c r="I37" s="194">
        <v>30450</v>
      </c>
      <c r="J37" s="42"/>
    </row>
    <row r="38" spans="8:10" x14ac:dyDescent="0.25">
      <c r="H38" s="215" t="s">
        <v>213</v>
      </c>
      <c r="I38" s="194">
        <v>65975</v>
      </c>
      <c r="J38" s="42"/>
    </row>
    <row r="39" spans="8:10" x14ac:dyDescent="0.25">
      <c r="H39" s="216" t="s">
        <v>214</v>
      </c>
      <c r="I39" s="194">
        <v>6496</v>
      </c>
      <c r="J39" s="42"/>
    </row>
    <row r="40" spans="8:10" x14ac:dyDescent="0.25">
      <c r="H40" s="216" t="s">
        <v>215</v>
      </c>
      <c r="I40" s="194">
        <v>5481</v>
      </c>
      <c r="J40" s="42"/>
    </row>
    <row r="41" spans="8:10" x14ac:dyDescent="0.25">
      <c r="H41" s="214" t="s">
        <v>216</v>
      </c>
      <c r="I41" s="174"/>
      <c r="J41" s="42"/>
    </row>
    <row r="42" spans="8:10" x14ac:dyDescent="0.25">
      <c r="H42" s="215" t="s">
        <v>212</v>
      </c>
      <c r="I42" s="194">
        <v>30000</v>
      </c>
      <c r="J42" s="42"/>
    </row>
    <row r="43" spans="8:10" x14ac:dyDescent="0.25">
      <c r="H43" s="215" t="s">
        <v>213</v>
      </c>
      <c r="I43" s="194">
        <v>65000</v>
      </c>
      <c r="J43" s="42"/>
    </row>
    <row r="44" spans="8:10" x14ac:dyDescent="0.25">
      <c r="H44" s="216" t="s">
        <v>214</v>
      </c>
      <c r="I44" s="194">
        <v>6400</v>
      </c>
      <c r="J44" s="42"/>
    </row>
    <row r="45" spans="8:10" x14ac:dyDescent="0.25">
      <c r="H45" s="216" t="s">
        <v>215</v>
      </c>
      <c r="I45" s="194">
        <v>5400</v>
      </c>
      <c r="J45" s="42"/>
    </row>
    <row r="46" spans="8:10" ht="15.75" x14ac:dyDescent="0.25">
      <c r="H46" s="217" t="s">
        <v>217</v>
      </c>
      <c r="I46" s="174"/>
      <c r="J46" s="42"/>
    </row>
    <row r="47" spans="8:10" x14ac:dyDescent="0.25">
      <c r="H47" s="216" t="s">
        <v>218</v>
      </c>
      <c r="I47" s="195">
        <v>7.0000000000000007E-2</v>
      </c>
      <c r="J47" s="42"/>
    </row>
    <row r="48" spans="8:10" x14ac:dyDescent="0.25">
      <c r="H48" s="216" t="s">
        <v>219</v>
      </c>
      <c r="I48" s="195">
        <v>0.13500000000000001</v>
      </c>
      <c r="J48" s="42"/>
    </row>
    <row r="49" spans="8:11" x14ac:dyDescent="0.25">
      <c r="H49" s="216" t="s">
        <v>220</v>
      </c>
      <c r="I49" s="195">
        <v>0.19</v>
      </c>
      <c r="J49" s="42"/>
    </row>
    <row r="50" spans="8:11" x14ac:dyDescent="0.25">
      <c r="H50" s="216" t="s">
        <v>221</v>
      </c>
      <c r="I50" s="195">
        <v>0.23</v>
      </c>
      <c r="J50" s="42"/>
    </row>
    <row r="51" spans="8:11" ht="15.75" x14ac:dyDescent="0.25">
      <c r="H51" s="217" t="s">
        <v>222</v>
      </c>
      <c r="I51" s="218"/>
      <c r="J51" s="42"/>
    </row>
    <row r="52" spans="8:11" x14ac:dyDescent="0.25">
      <c r="H52" s="216" t="s">
        <v>218</v>
      </c>
      <c r="I52" s="195">
        <v>3.2000000000000001E-2</v>
      </c>
      <c r="J52" s="42"/>
    </row>
    <row r="53" spans="8:11" x14ac:dyDescent="0.25">
      <c r="H53" s="216" t="s">
        <v>219</v>
      </c>
      <c r="I53" s="195">
        <v>5.7000000000000002E-2</v>
      </c>
      <c r="J53" s="42"/>
    </row>
    <row r="54" spans="8:11" x14ac:dyDescent="0.25">
      <c r="H54" s="216" t="s">
        <v>220</v>
      </c>
      <c r="I54" s="195">
        <v>0.08</v>
      </c>
      <c r="J54" s="42"/>
    </row>
    <row r="55" spans="8:11" x14ac:dyDescent="0.25">
      <c r="H55" s="216" t="s">
        <v>221</v>
      </c>
      <c r="I55" s="219">
        <v>9.5000000000000001E-2</v>
      </c>
      <c r="J55" s="42"/>
    </row>
    <row r="56" spans="8:11" ht="15.75" x14ac:dyDescent="0.25">
      <c r="H56" s="220" t="s">
        <v>223</v>
      </c>
      <c r="I56" s="221">
        <f>0.5*IF(K13&lt;I37,(I39+I40),IF(K13&lt;I38,(I39+I40-(K13-I37)*I48),(I39+I40-(I38-I37)*I48-(K13-I38)*I53)))</f>
        <v>4455.3601854496255</v>
      </c>
      <c r="J56" s="42" t="s">
        <v>224</v>
      </c>
    </row>
    <row r="57" spans="8:11" ht="15.75" x14ac:dyDescent="0.25">
      <c r="H57" s="222" t="s">
        <v>225</v>
      </c>
      <c r="I57" s="223">
        <f>0.5*IF(K13&lt;I42,(I44+I45),IF(K13&lt;I43,(I44+I45-(K13-I42)*I48),(I44+I45-(I43-I42)*I48-(K13-I43)*I53)))</f>
        <v>4336.4851854496255</v>
      </c>
      <c r="J57" s="42" t="s">
        <v>224</v>
      </c>
    </row>
    <row r="58" spans="8:11" x14ac:dyDescent="0.25">
      <c r="H58" s="171" t="s">
        <v>226</v>
      </c>
      <c r="I58" s="224">
        <f>(I39+I40-(I38-I37)*I48)/I53+I38</f>
        <v>191959.64912280702</v>
      </c>
      <c r="J58" s="42"/>
    </row>
    <row r="59" spans="8:11" ht="15.75" thickBot="1" x14ac:dyDescent="0.3">
      <c r="H59" s="181" t="s">
        <v>227</v>
      </c>
      <c r="I59" s="225">
        <f>(I44+I45-(I43-I42)*I48)/I53+I43</f>
        <v>189122.80701754385</v>
      </c>
      <c r="J59" s="42"/>
    </row>
    <row r="60" spans="8:11" ht="15.75" thickBot="1" x14ac:dyDescent="0.3"/>
    <row r="61" spans="8:11" x14ac:dyDescent="0.25">
      <c r="H61" s="286" t="s">
        <v>99</v>
      </c>
      <c r="I61" s="287"/>
      <c r="J61" s="42"/>
      <c r="K61" s="42"/>
    </row>
    <row r="62" spans="8:11" x14ac:dyDescent="0.25">
      <c r="H62" s="171" t="s">
        <v>228</v>
      </c>
      <c r="I62" s="194">
        <v>280</v>
      </c>
      <c r="J62" s="42"/>
      <c r="K62" s="42"/>
    </row>
    <row r="63" spans="8:11" x14ac:dyDescent="0.25">
      <c r="H63" s="171" t="s">
        <v>229</v>
      </c>
      <c r="I63" s="194">
        <v>280</v>
      </c>
      <c r="J63" s="42"/>
      <c r="K63" s="42"/>
    </row>
    <row r="64" spans="8:11" x14ac:dyDescent="0.25">
      <c r="H64" s="171" t="s">
        <v>230</v>
      </c>
      <c r="I64" s="194">
        <v>147</v>
      </c>
      <c r="J64" s="42"/>
      <c r="K64" s="42"/>
    </row>
    <row r="65" spans="8:11" x14ac:dyDescent="0.25">
      <c r="H65" s="171" t="s">
        <v>231</v>
      </c>
      <c r="I65" s="194">
        <v>36429</v>
      </c>
      <c r="J65" s="42"/>
      <c r="K65" s="42"/>
    </row>
    <row r="66" spans="8:11" x14ac:dyDescent="0.25">
      <c r="H66" s="171" t="s">
        <v>232</v>
      </c>
      <c r="I66" s="196">
        <v>0.05</v>
      </c>
      <c r="J66" s="42"/>
      <c r="K66" s="42"/>
    </row>
    <row r="67" spans="8:11" ht="15.75" thickBot="1" x14ac:dyDescent="0.3">
      <c r="H67" s="226" t="s">
        <v>233</v>
      </c>
      <c r="I67" s="198">
        <f>MAX(0,(I62+I63+(I64*C22))-IF(K13&lt;I65,0,((K13-I65)*I66)))</f>
        <v>17.29087811083366</v>
      </c>
      <c r="J67" s="42"/>
      <c r="K67" s="42"/>
    </row>
    <row r="68" spans="8:11" ht="15.75" thickBot="1" x14ac:dyDescent="0.3">
      <c r="H68" s="42"/>
      <c r="I68" s="42"/>
      <c r="J68" s="42"/>
      <c r="K68" s="42"/>
    </row>
    <row r="69" spans="8:11" x14ac:dyDescent="0.25">
      <c r="H69" s="286" t="s">
        <v>123</v>
      </c>
      <c r="I69" s="287"/>
      <c r="J69" s="42"/>
      <c r="K69" s="42"/>
    </row>
    <row r="70" spans="8:11" x14ac:dyDescent="0.25">
      <c r="H70" s="171" t="s">
        <v>207</v>
      </c>
      <c r="I70" s="185">
        <v>35000</v>
      </c>
      <c r="J70" s="42"/>
      <c r="K70" s="42"/>
    </row>
    <row r="71" spans="8:11" x14ac:dyDescent="0.25">
      <c r="H71" s="171" t="s">
        <v>234</v>
      </c>
      <c r="I71" s="185">
        <v>300</v>
      </c>
      <c r="J71" s="42"/>
      <c r="K71" s="42"/>
    </row>
    <row r="72" spans="8:11" x14ac:dyDescent="0.25">
      <c r="H72" s="171" t="s">
        <v>235</v>
      </c>
      <c r="I72" s="185">
        <v>600</v>
      </c>
      <c r="J72" s="42"/>
      <c r="K72" s="42"/>
    </row>
    <row r="73" spans="8:11" x14ac:dyDescent="0.25">
      <c r="H73" s="171" t="s">
        <v>236</v>
      </c>
      <c r="I73" s="185">
        <v>600</v>
      </c>
      <c r="J73" s="42"/>
      <c r="K73" s="42"/>
    </row>
    <row r="74" spans="8:11" x14ac:dyDescent="0.25">
      <c r="H74" s="171" t="s">
        <v>237</v>
      </c>
      <c r="I74" s="185">
        <v>100</v>
      </c>
      <c r="J74" s="42"/>
      <c r="K74" s="42"/>
    </row>
    <row r="75" spans="8:11" x14ac:dyDescent="0.25">
      <c r="H75" s="171" t="s">
        <v>238</v>
      </c>
      <c r="I75" s="227">
        <v>0.02</v>
      </c>
      <c r="J75" s="42"/>
      <c r="K75" s="42"/>
    </row>
    <row r="76" spans="8:11" ht="15.75" thickBot="1" x14ac:dyDescent="0.3">
      <c r="H76" s="181" t="s">
        <v>239</v>
      </c>
      <c r="I76" s="228">
        <f>MAX(0,IF(K13&lt;I70,I72+I74*C22,(I72+I74*C22)-I75*(K13-I70)))</f>
        <v>436.73635124433349</v>
      </c>
      <c r="J76" s="42" t="s">
        <v>240</v>
      </c>
      <c r="K76" s="42"/>
    </row>
    <row r="78" spans="8:11" x14ac:dyDescent="0.25">
      <c r="H78" s="288"/>
      <c r="I78" s="288"/>
    </row>
    <row r="79" spans="8:11" x14ac:dyDescent="0.25">
      <c r="H79" s="143"/>
      <c r="I79" s="143"/>
    </row>
  </sheetData>
  <mergeCells count="7">
    <mergeCell ref="H69:I69"/>
    <mergeCell ref="H78:I78"/>
    <mergeCell ref="B21:C21"/>
    <mergeCell ref="H20:I20"/>
    <mergeCell ref="H27:I27"/>
    <mergeCell ref="H35:I35"/>
    <mergeCell ref="H61:I61"/>
  </mergeCells>
  <pageMargins left="0.7" right="0.7" top="0.75" bottom="0.75" header="0.3" footer="0.3"/>
  <pageSetup orientation="portrait" horizontalDpi="0" verticalDpi="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opLeftCell="A31" workbookViewId="0">
      <selection activeCell="A51" sqref="A51:B51"/>
    </sheetView>
  </sheetViews>
  <sheetFormatPr defaultColWidth="8.85546875" defaultRowHeight="15" x14ac:dyDescent="0.25"/>
  <cols>
    <col min="1" max="1" width="36.42578125" customWidth="1"/>
    <col min="2" max="2" width="12.7109375" style="88" bestFit="1" customWidth="1"/>
    <col min="3" max="3" width="14.28515625" customWidth="1"/>
    <col min="4" max="4" width="10.42578125" customWidth="1"/>
    <col min="5" max="5" width="11.140625" customWidth="1"/>
    <col min="6" max="6" width="10.85546875" customWidth="1"/>
    <col min="7" max="7" width="10" customWidth="1"/>
    <col min="8" max="8" width="10.28515625" customWidth="1"/>
    <col min="9" max="9" width="14.28515625" bestFit="1" customWidth="1"/>
    <col min="10" max="10" width="8.85546875" customWidth="1"/>
    <col min="12" max="12" width="11" bestFit="1" customWidth="1"/>
    <col min="13" max="13" width="9.28515625" customWidth="1"/>
    <col min="14" max="14" width="8.85546875" customWidth="1"/>
    <col min="18" max="18" width="11.28515625" customWidth="1"/>
  </cols>
  <sheetData>
    <row r="1" spans="1:5" ht="15.75" x14ac:dyDescent="0.25">
      <c r="A1" s="293" t="s">
        <v>144</v>
      </c>
      <c r="B1" s="293"/>
    </row>
    <row r="2" spans="1:5" x14ac:dyDescent="0.25">
      <c r="A2" s="5"/>
      <c r="B2" s="83"/>
    </row>
    <row r="3" spans="1:5" x14ac:dyDescent="0.25">
      <c r="A3" s="21" t="s">
        <v>8</v>
      </c>
      <c r="B3" s="30"/>
    </row>
    <row r="4" spans="1:5" x14ac:dyDescent="0.25">
      <c r="A4" s="48" t="s">
        <v>165</v>
      </c>
      <c r="B4" s="78">
        <v>800</v>
      </c>
      <c r="C4" s="82"/>
    </row>
    <row r="5" spans="1:5" x14ac:dyDescent="0.25">
      <c r="A5" s="48" t="s">
        <v>89</v>
      </c>
      <c r="B5" s="160">
        <v>19.71</v>
      </c>
      <c r="E5" t="s">
        <v>101</v>
      </c>
    </row>
    <row r="6" spans="1:5" x14ac:dyDescent="0.25">
      <c r="A6" s="21" t="s">
        <v>90</v>
      </c>
      <c r="B6" s="79">
        <f>SUM(B4:B5)</f>
        <v>819.71</v>
      </c>
    </row>
    <row r="7" spans="1:5" x14ac:dyDescent="0.25">
      <c r="A7" s="49"/>
      <c r="B7" s="85"/>
    </row>
    <row r="8" spans="1:5" x14ac:dyDescent="0.25">
      <c r="A8" s="298" t="s">
        <v>124</v>
      </c>
      <c r="B8" s="299"/>
    </row>
    <row r="9" spans="1:5" x14ac:dyDescent="0.25">
      <c r="A9" s="50" t="s">
        <v>91</v>
      </c>
      <c r="B9" s="11">
        <v>16.61</v>
      </c>
    </row>
    <row r="10" spans="1:5" x14ac:dyDescent="0.25">
      <c r="A10" s="48" t="s">
        <v>92</v>
      </c>
      <c r="B10" s="11">
        <v>109.23</v>
      </c>
    </row>
    <row r="11" spans="1:5" x14ac:dyDescent="0.25">
      <c r="A11" s="48" t="s">
        <v>93</v>
      </c>
      <c r="B11" s="11">
        <f>(B10+B9)*15%</f>
        <v>18.876000000000001</v>
      </c>
    </row>
    <row r="12" spans="1:5" x14ac:dyDescent="0.25">
      <c r="A12" s="48" t="s">
        <v>297</v>
      </c>
      <c r="B12" s="11">
        <f>SUM(B9:B11)</f>
        <v>144.71600000000001</v>
      </c>
    </row>
    <row r="13" spans="1:5" s="42" customFormat="1" ht="26.25" x14ac:dyDescent="0.25">
      <c r="A13" s="161" t="s">
        <v>133</v>
      </c>
      <c r="B13" s="160">
        <v>92</v>
      </c>
    </row>
    <row r="14" spans="1:5" s="42" customFormat="1" ht="26.25" x14ac:dyDescent="0.25">
      <c r="A14" s="162" t="s">
        <v>134</v>
      </c>
      <c r="B14" s="160">
        <v>58</v>
      </c>
    </row>
    <row r="15" spans="1:5" s="42" customFormat="1" x14ac:dyDescent="0.25">
      <c r="A15" s="271" t="s">
        <v>90</v>
      </c>
      <c r="B15" s="272">
        <f>B12+B13+B14</f>
        <v>294.71600000000001</v>
      </c>
    </row>
    <row r="16" spans="1:5" s="42" customFormat="1" x14ac:dyDescent="0.25">
      <c r="A16" s="22"/>
      <c r="B16" s="86"/>
    </row>
    <row r="17" spans="1:6" s="42" customFormat="1" x14ac:dyDescent="0.25">
      <c r="A17" s="303" t="s">
        <v>84</v>
      </c>
      <c r="B17" s="303"/>
    </row>
    <row r="18" spans="1:6" s="42" customFormat="1" x14ac:dyDescent="0.25">
      <c r="A18" s="48" t="s">
        <v>151</v>
      </c>
      <c r="B18" s="11">
        <f>MBM!C32</f>
        <v>2163</v>
      </c>
    </row>
    <row r="19" spans="1:6" x14ac:dyDescent="0.25">
      <c r="A19" s="153" t="s">
        <v>152</v>
      </c>
      <c r="B19" s="30">
        <v>2218.23493360572</v>
      </c>
    </row>
    <row r="20" spans="1:6" s="42" customFormat="1" x14ac:dyDescent="0.25">
      <c r="A20" s="51"/>
      <c r="B20" s="83"/>
    </row>
    <row r="21" spans="1:6" x14ac:dyDescent="0.25">
      <c r="A21" s="294" t="s">
        <v>157</v>
      </c>
      <c r="B21" s="295"/>
    </row>
    <row r="22" spans="1:6" s="42" customFormat="1" x14ac:dyDescent="0.25">
      <c r="A22" s="146" t="s">
        <v>298</v>
      </c>
      <c r="B22" s="155">
        <f>(B49+B19)*75.4%</f>
        <v>11197.811113378288</v>
      </c>
    </row>
    <row r="23" spans="1:6" x14ac:dyDescent="0.25">
      <c r="A23" s="52" t="s">
        <v>159</v>
      </c>
      <c r="B23" s="11">
        <f>B22/2</f>
        <v>5598.9055566891439</v>
      </c>
      <c r="C23" s="37"/>
      <c r="D23" s="42"/>
      <c r="E23" s="42"/>
      <c r="F23" s="42"/>
    </row>
    <row r="24" spans="1:6" x14ac:dyDescent="0.25">
      <c r="A24" s="48" t="s">
        <v>158</v>
      </c>
      <c r="B24" s="80">
        <f>B23</f>
        <v>5598.9055566891439</v>
      </c>
      <c r="C24" s="37"/>
      <c r="D24" s="42"/>
      <c r="E24" s="42"/>
      <c r="F24" s="42"/>
    </row>
    <row r="25" spans="1:6" x14ac:dyDescent="0.25">
      <c r="B25" s="87"/>
      <c r="C25" s="42"/>
      <c r="D25" s="42"/>
      <c r="E25" s="42"/>
      <c r="F25" s="42"/>
    </row>
    <row r="26" spans="1:6" x14ac:dyDescent="0.25">
      <c r="A26" s="114" t="s">
        <v>10</v>
      </c>
      <c r="B26" s="113"/>
      <c r="C26" s="42"/>
      <c r="D26" s="42"/>
      <c r="E26" s="42"/>
      <c r="F26" s="42"/>
    </row>
    <row r="27" spans="1:6" x14ac:dyDescent="0.25">
      <c r="A27" s="25" t="s">
        <v>94</v>
      </c>
      <c r="B27" s="81">
        <f>77*12</f>
        <v>924</v>
      </c>
      <c r="C27" s="42"/>
      <c r="D27" s="42"/>
      <c r="E27" s="42"/>
      <c r="F27" s="42"/>
    </row>
    <row r="28" spans="1:6" x14ac:dyDescent="0.25">
      <c r="A28" s="48" t="s">
        <v>153</v>
      </c>
      <c r="B28" s="81">
        <f>MBM!D15</f>
        <v>5203.3702882483367</v>
      </c>
      <c r="C28" s="42"/>
      <c r="D28" s="42"/>
      <c r="E28" s="42"/>
      <c r="F28" s="42"/>
    </row>
    <row r="29" spans="1:6" s="42" customFormat="1" x14ac:dyDescent="0.25">
      <c r="A29" s="48" t="s">
        <v>164</v>
      </c>
      <c r="B29" s="81">
        <f>60*8</f>
        <v>480</v>
      </c>
    </row>
    <row r="30" spans="1:6" s="42" customFormat="1" x14ac:dyDescent="0.25">
      <c r="A30" s="48" t="s">
        <v>90</v>
      </c>
      <c r="B30" s="81">
        <f>B31/12</f>
        <v>550.61419068736143</v>
      </c>
    </row>
    <row r="31" spans="1:6" x14ac:dyDescent="0.25">
      <c r="A31" s="21" t="s">
        <v>95</v>
      </c>
      <c r="B31" s="147">
        <f>SUM(B26:B29)</f>
        <v>6607.3702882483367</v>
      </c>
      <c r="C31" s="42"/>
      <c r="D31" s="42"/>
      <c r="E31" s="42"/>
      <c r="F31" s="42"/>
    </row>
    <row r="32" spans="1:6" x14ac:dyDescent="0.25">
      <c r="A32" s="22"/>
      <c r="B32" s="87"/>
      <c r="C32" s="42"/>
      <c r="D32" s="42"/>
      <c r="E32" s="42"/>
      <c r="F32" s="42"/>
    </row>
    <row r="33" spans="1:15" x14ac:dyDescent="0.25">
      <c r="A33" s="72" t="s">
        <v>14</v>
      </c>
      <c r="B33" s="84"/>
      <c r="C33" s="7"/>
      <c r="D33" s="4"/>
      <c r="E33" s="4"/>
      <c r="F33" s="99"/>
      <c r="G33" s="99"/>
    </row>
    <row r="34" spans="1:15" x14ac:dyDescent="0.25">
      <c r="A34" s="48" t="s">
        <v>135</v>
      </c>
      <c r="B34" s="11">
        <v>162</v>
      </c>
      <c r="C34" s="12"/>
      <c r="D34" s="42"/>
      <c r="E34" s="42"/>
      <c r="F34" s="42"/>
    </row>
    <row r="35" spans="1:15" x14ac:dyDescent="0.25">
      <c r="A35" s="48" t="s">
        <v>166</v>
      </c>
      <c r="B35" s="11">
        <v>134</v>
      </c>
      <c r="C35" s="12"/>
      <c r="D35" s="42"/>
      <c r="F35" s="42"/>
    </row>
    <row r="36" spans="1:15" s="42" customFormat="1" x14ac:dyDescent="0.25">
      <c r="A36" s="48" t="s">
        <v>132</v>
      </c>
      <c r="B36" s="11">
        <v>125</v>
      </c>
      <c r="C36" s="12"/>
    </row>
    <row r="37" spans="1:15" s="42" customFormat="1" x14ac:dyDescent="0.25">
      <c r="A37" s="48" t="s">
        <v>90</v>
      </c>
      <c r="B37" s="11">
        <f>B38/12</f>
        <v>113</v>
      </c>
      <c r="C37" s="12"/>
    </row>
    <row r="38" spans="1:15" x14ac:dyDescent="0.25">
      <c r="A38" s="21" t="s">
        <v>95</v>
      </c>
      <c r="B38" s="30">
        <f>(B34*6)+B35+(B36*2)</f>
        <v>1356</v>
      </c>
      <c r="C38" s="12"/>
      <c r="D38" s="42"/>
      <c r="E38" s="42"/>
      <c r="F38" s="42"/>
    </row>
    <row r="39" spans="1:15" x14ac:dyDescent="0.25">
      <c r="A39" s="53"/>
      <c r="C39" s="12"/>
      <c r="D39" s="42"/>
      <c r="K39" s="305" t="s">
        <v>114</v>
      </c>
      <c r="L39" s="306"/>
      <c r="M39" s="125" t="s">
        <v>118</v>
      </c>
      <c r="N39" s="126" t="s">
        <v>119</v>
      </c>
    </row>
    <row r="40" spans="1:15" x14ac:dyDescent="0.25">
      <c r="A40" s="69" t="s">
        <v>11</v>
      </c>
      <c r="B40" s="89"/>
      <c r="C40" s="12"/>
      <c r="D40" s="42"/>
      <c r="E40" s="284" t="s">
        <v>115</v>
      </c>
      <c r="F40" s="307"/>
      <c r="G40" s="307"/>
      <c r="H40" s="307"/>
      <c r="I40" s="285"/>
      <c r="J40" s="95"/>
      <c r="K40" s="120">
        <v>0</v>
      </c>
      <c r="L40" s="121">
        <v>30000</v>
      </c>
      <c r="M40" s="127">
        <v>24.25</v>
      </c>
      <c r="N40" s="128">
        <v>12.75</v>
      </c>
      <c r="O40" s="42"/>
    </row>
    <row r="41" spans="1:15" ht="15.75" thickBot="1" x14ac:dyDescent="0.3">
      <c r="A41" s="123" t="s">
        <v>148</v>
      </c>
      <c r="B41" s="11">
        <f>716*12</f>
        <v>8592</v>
      </c>
      <c r="C41" s="42"/>
      <c r="E41" s="300" t="s">
        <v>129</v>
      </c>
      <c r="F41" s="302"/>
      <c r="G41" s="302"/>
      <c r="H41" s="301"/>
      <c r="I41" s="261">
        <f>'1st time calculation'!D39-('1st time calculation'!D42+'1st time calculation'!D43+'1st time calculation'!D44+'1st time calculation'!D45)</f>
        <v>56568.036960621524</v>
      </c>
      <c r="J41" s="98"/>
      <c r="K41" s="100">
        <v>30001</v>
      </c>
      <c r="L41" s="101">
        <v>31000</v>
      </c>
      <c r="M41" s="129">
        <v>21.27</v>
      </c>
      <c r="N41" s="130">
        <v>11.44</v>
      </c>
    </row>
    <row r="42" spans="1:15" ht="15.75" thickTop="1" x14ac:dyDescent="0.25">
      <c r="A42" s="123" t="s">
        <v>96</v>
      </c>
      <c r="B42" s="11">
        <f>42*106.35</f>
        <v>4466.7</v>
      </c>
      <c r="C42" s="42"/>
      <c r="E42" s="300"/>
      <c r="F42" s="301"/>
      <c r="G42" s="39" t="s">
        <v>116</v>
      </c>
      <c r="H42" s="39" t="s">
        <v>117</v>
      </c>
      <c r="I42" s="39" t="s">
        <v>120</v>
      </c>
      <c r="J42" s="97"/>
      <c r="K42" s="100">
        <v>31001</v>
      </c>
      <c r="L42" s="101">
        <v>32000</v>
      </c>
      <c r="M42" s="129">
        <v>18.66</v>
      </c>
      <c r="N42" s="130">
        <v>10.26</v>
      </c>
    </row>
    <row r="43" spans="1:15" x14ac:dyDescent="0.25">
      <c r="A43" s="123" t="s">
        <v>97</v>
      </c>
      <c r="B43" s="11">
        <f>7*128.75</f>
        <v>901.25</v>
      </c>
      <c r="C43" s="42"/>
      <c r="E43" s="296" t="s">
        <v>126</v>
      </c>
      <c r="F43" s="297"/>
      <c r="G43" s="96">
        <f>12*23</f>
        <v>276</v>
      </c>
      <c r="H43" s="74">
        <f>LOOKUP(I41, K40:L66, M40:M66)</f>
        <v>0</v>
      </c>
      <c r="I43" s="40">
        <f>G43*H43</f>
        <v>0</v>
      </c>
      <c r="K43" s="100">
        <v>32001</v>
      </c>
      <c r="L43" s="101">
        <v>33000</v>
      </c>
      <c r="M43" s="129">
        <v>16.37</v>
      </c>
      <c r="N43" s="130">
        <v>9.1999999999999993</v>
      </c>
    </row>
    <row r="44" spans="1:15" s="42" customFormat="1" x14ac:dyDescent="0.25">
      <c r="A44" s="123" t="s">
        <v>122</v>
      </c>
      <c r="B44" s="11">
        <f>14*14</f>
        <v>196</v>
      </c>
      <c r="E44" s="296" t="s">
        <v>130</v>
      </c>
      <c r="F44" s="297"/>
      <c r="G44" s="96">
        <f>42*5</f>
        <v>210</v>
      </c>
      <c r="H44" s="74">
        <f>LOOKUP(I41, K40:L66, N40:N66)</f>
        <v>0</v>
      </c>
      <c r="I44" s="40">
        <f>G44*H44</f>
        <v>0</v>
      </c>
      <c r="K44" s="100">
        <v>33001</v>
      </c>
      <c r="L44" s="101">
        <v>34000</v>
      </c>
      <c r="M44" s="129">
        <v>14.36</v>
      </c>
      <c r="N44" s="130">
        <v>8.25</v>
      </c>
    </row>
    <row r="45" spans="1:15" s="42" customFormat="1" x14ac:dyDescent="0.25">
      <c r="A45" s="123" t="s">
        <v>98</v>
      </c>
      <c r="B45" s="252">
        <v>0</v>
      </c>
      <c r="E45" s="296" t="s">
        <v>149</v>
      </c>
      <c r="F45" s="297"/>
      <c r="G45" s="96">
        <v>35</v>
      </c>
      <c r="H45" s="40">
        <v>0</v>
      </c>
      <c r="I45" s="40">
        <f>G45*H45</f>
        <v>0</v>
      </c>
      <c r="J45" s="97"/>
      <c r="K45" s="100">
        <v>34001</v>
      </c>
      <c r="L45" s="101">
        <v>35000</v>
      </c>
      <c r="M45" s="129">
        <v>12.6</v>
      </c>
      <c r="N45" s="130">
        <v>7.4</v>
      </c>
    </row>
    <row r="46" spans="1:15" x14ac:dyDescent="0.25">
      <c r="A46" s="124" t="s">
        <v>95</v>
      </c>
      <c r="B46" s="30">
        <f>SUM(B41:B45)</f>
        <v>14155.95</v>
      </c>
      <c r="C46" s="42"/>
      <c r="D46" s="42"/>
      <c r="E46" s="300" t="s">
        <v>121</v>
      </c>
      <c r="F46" s="302"/>
      <c r="G46" s="302"/>
      <c r="H46" s="301"/>
      <c r="I46" s="40">
        <f>SUM(I43:I45)</f>
        <v>0</v>
      </c>
      <c r="J46" s="97"/>
      <c r="K46" s="100">
        <v>35001</v>
      </c>
      <c r="L46" s="101">
        <v>36000</v>
      </c>
      <c r="M46" s="129">
        <v>11.05</v>
      </c>
      <c r="N46" s="130">
        <v>6.64</v>
      </c>
    </row>
    <row r="47" spans="1:15" x14ac:dyDescent="0.25">
      <c r="A47" s="135"/>
      <c r="B47" s="83"/>
      <c r="C47" s="42"/>
      <c r="D47" s="42"/>
      <c r="E47" s="42"/>
      <c r="F47" s="42"/>
      <c r="G47" s="42"/>
      <c r="H47" s="42"/>
      <c r="I47" s="42"/>
      <c r="J47" s="42"/>
      <c r="K47" s="100">
        <v>36001</v>
      </c>
      <c r="L47" s="101">
        <v>37000</v>
      </c>
      <c r="M47" s="129">
        <v>9.69</v>
      </c>
      <c r="N47" s="130">
        <v>5.96</v>
      </c>
    </row>
    <row r="48" spans="1:15" s="42" customFormat="1" x14ac:dyDescent="0.25">
      <c r="A48" s="304" t="s">
        <v>125</v>
      </c>
      <c r="B48" s="304"/>
      <c r="C48" s="144"/>
      <c r="D48" s="143"/>
      <c r="G48" s="143"/>
      <c r="K48" s="100">
        <v>37001</v>
      </c>
      <c r="L48" s="101">
        <v>38000</v>
      </c>
      <c r="M48" s="129">
        <v>8.5</v>
      </c>
      <c r="N48" s="130">
        <v>5.34</v>
      </c>
    </row>
    <row r="49" spans="1:14" s="42" customFormat="1" x14ac:dyDescent="0.25">
      <c r="A49" s="123" t="s">
        <v>150</v>
      </c>
      <c r="B49" s="30">
        <f>MBM!D31</f>
        <v>12632.973439575033</v>
      </c>
      <c r="D49" s="37"/>
      <c r="E49" s="140"/>
      <c r="F49" s="140"/>
      <c r="G49" s="140"/>
      <c r="H49" s="143"/>
      <c r="I49" s="140"/>
      <c r="K49" s="100">
        <v>38001</v>
      </c>
      <c r="L49" s="101">
        <v>39000</v>
      </c>
      <c r="M49" s="129">
        <v>7.46</v>
      </c>
      <c r="N49" s="130">
        <v>4.79</v>
      </c>
    </row>
    <row r="50" spans="1:14" x14ac:dyDescent="0.25">
      <c r="A50" s="117"/>
      <c r="B50" s="118"/>
      <c r="C50" s="42"/>
      <c r="D50" s="37"/>
      <c r="E50" s="139"/>
      <c r="F50" s="139"/>
      <c r="G50" s="139"/>
      <c r="H50" s="139"/>
      <c r="I50" s="139"/>
      <c r="J50" s="42"/>
      <c r="K50" s="100">
        <v>39001</v>
      </c>
      <c r="L50" s="101">
        <v>40000</v>
      </c>
      <c r="M50" s="129">
        <v>6.54</v>
      </c>
      <c r="N50" s="130">
        <v>4.3</v>
      </c>
    </row>
    <row r="51" spans="1:14" x14ac:dyDescent="0.25">
      <c r="A51" s="303" t="s">
        <v>154</v>
      </c>
      <c r="B51" s="303"/>
      <c r="C51" s="42"/>
      <c r="D51" s="37"/>
      <c r="E51" s="140"/>
      <c r="F51" s="140"/>
      <c r="G51" s="140"/>
      <c r="H51" s="140"/>
      <c r="I51" s="137"/>
      <c r="J51" s="42"/>
      <c r="K51" s="100">
        <v>40001</v>
      </c>
      <c r="L51" s="101">
        <v>41000</v>
      </c>
      <c r="M51" s="129">
        <v>5.74</v>
      </c>
      <c r="N51" s="130">
        <v>3.86</v>
      </c>
    </row>
    <row r="52" spans="1:14" x14ac:dyDescent="0.25">
      <c r="A52" s="48" t="s">
        <v>155</v>
      </c>
      <c r="B52" s="154">
        <v>164.81</v>
      </c>
      <c r="C52" s="42"/>
      <c r="D52" s="37"/>
      <c r="E52" s="140"/>
      <c r="F52" s="140"/>
      <c r="G52" s="98"/>
      <c r="H52" s="98"/>
      <c r="I52" s="98"/>
      <c r="J52" s="42"/>
      <c r="K52" s="100">
        <v>41001</v>
      </c>
      <c r="L52" s="101">
        <v>42000</v>
      </c>
      <c r="M52" s="129">
        <v>5.03</v>
      </c>
      <c r="N52" s="130">
        <v>3.46</v>
      </c>
    </row>
    <row r="53" spans="1:14" x14ac:dyDescent="0.25">
      <c r="A53" s="48" t="s">
        <v>156</v>
      </c>
      <c r="B53" s="30">
        <f>B52*12</f>
        <v>1977.72</v>
      </c>
      <c r="C53" s="42"/>
      <c r="D53" s="37"/>
      <c r="E53" s="140"/>
      <c r="F53" s="140"/>
      <c r="G53" s="138"/>
      <c r="H53" s="97"/>
      <c r="I53" s="97"/>
      <c r="J53" s="42"/>
      <c r="K53" s="100">
        <v>42001</v>
      </c>
      <c r="L53" s="101">
        <v>43000</v>
      </c>
      <c r="M53" s="129">
        <v>4.42</v>
      </c>
      <c r="N53" s="130">
        <v>3.1</v>
      </c>
    </row>
    <row r="54" spans="1:14" x14ac:dyDescent="0.25">
      <c r="A54" s="119"/>
      <c r="B54" s="102"/>
      <c r="C54" s="42"/>
      <c r="D54" s="105"/>
      <c r="E54" s="140"/>
      <c r="F54" s="140"/>
      <c r="G54" s="138"/>
      <c r="H54" s="97"/>
      <c r="I54" s="97"/>
      <c r="J54" s="42"/>
      <c r="K54" s="100">
        <v>43001</v>
      </c>
      <c r="L54" s="101">
        <v>44000</v>
      </c>
      <c r="M54" s="129">
        <v>3.87</v>
      </c>
      <c r="N54" s="130">
        <v>2.78</v>
      </c>
    </row>
    <row r="55" spans="1:14" x14ac:dyDescent="0.25">
      <c r="A55" s="119"/>
      <c r="C55" s="42"/>
      <c r="D55" s="37"/>
      <c r="E55" s="140"/>
      <c r="F55" s="140"/>
      <c r="G55" s="141"/>
      <c r="H55" s="142"/>
      <c r="I55" s="97"/>
      <c r="J55" s="42"/>
      <c r="K55" s="100">
        <v>44001</v>
      </c>
      <c r="L55" s="101">
        <v>45000</v>
      </c>
      <c r="M55" s="129">
        <v>3.4</v>
      </c>
      <c r="N55" s="130">
        <v>2.5</v>
      </c>
    </row>
    <row r="56" spans="1:14" x14ac:dyDescent="0.25">
      <c r="C56" s="42"/>
      <c r="D56" s="42"/>
      <c r="E56" s="140"/>
      <c r="F56" s="140"/>
      <c r="G56" s="140"/>
      <c r="H56" s="140"/>
      <c r="I56" s="97"/>
      <c r="J56" s="42"/>
      <c r="K56" s="100">
        <v>45001</v>
      </c>
      <c r="L56" s="101">
        <v>46000</v>
      </c>
      <c r="M56" s="129">
        <v>2.98</v>
      </c>
      <c r="N56" s="130">
        <v>2.2400000000000002</v>
      </c>
    </row>
    <row r="57" spans="1:14" x14ac:dyDescent="0.25">
      <c r="A57" s="107"/>
      <c r="B57" s="112"/>
      <c r="C57" s="110"/>
      <c r="D57" s="42"/>
      <c r="E57" s="42"/>
      <c r="F57" s="42"/>
      <c r="G57" s="37"/>
      <c r="H57" s="42"/>
      <c r="I57" s="42"/>
      <c r="J57" s="42"/>
      <c r="K57" s="100">
        <v>46001</v>
      </c>
      <c r="L57" s="101">
        <v>47000</v>
      </c>
      <c r="M57" s="129">
        <v>2.61</v>
      </c>
      <c r="N57" s="130">
        <v>2.0099999999999998</v>
      </c>
    </row>
    <row r="58" spans="1:14" x14ac:dyDescent="0.25">
      <c r="A58" s="108"/>
      <c r="B58" s="112"/>
      <c r="C58" s="109"/>
      <c r="D58" s="42"/>
      <c r="E58" s="42"/>
      <c r="F58" s="42"/>
      <c r="G58" s="42"/>
      <c r="H58" s="42"/>
      <c r="I58" s="42"/>
      <c r="J58" s="42"/>
      <c r="K58" s="100">
        <v>47001</v>
      </c>
      <c r="L58" s="101">
        <v>48000</v>
      </c>
      <c r="M58" s="129">
        <v>2.29</v>
      </c>
      <c r="N58" s="130">
        <v>1.8</v>
      </c>
    </row>
    <row r="59" spans="1:14" x14ac:dyDescent="0.25">
      <c r="A59" s="111"/>
      <c r="C59" s="109"/>
      <c r="D59" s="42"/>
      <c r="E59" s="42"/>
      <c r="F59" s="42"/>
      <c r="G59" s="42"/>
      <c r="H59" s="42"/>
      <c r="I59" s="42"/>
      <c r="K59" s="100">
        <v>48001</v>
      </c>
      <c r="L59" s="101">
        <v>49000</v>
      </c>
      <c r="M59" s="129">
        <v>2.0099999999999998</v>
      </c>
      <c r="N59" s="130">
        <v>1.62</v>
      </c>
    </row>
    <row r="60" spans="1:14" x14ac:dyDescent="0.25">
      <c r="A60" s="111"/>
      <c r="K60" s="100">
        <v>49001</v>
      </c>
      <c r="L60" s="101">
        <v>50000</v>
      </c>
      <c r="M60" s="129">
        <v>1.75</v>
      </c>
      <c r="N60" s="130">
        <v>1.45</v>
      </c>
    </row>
    <row r="61" spans="1:14" x14ac:dyDescent="0.25">
      <c r="A61" s="106"/>
      <c r="K61" s="100">
        <v>50001</v>
      </c>
      <c r="L61" s="101">
        <v>51000</v>
      </c>
      <c r="M61" s="129">
        <v>1.55</v>
      </c>
      <c r="N61" s="130">
        <v>1.3</v>
      </c>
    </row>
    <row r="62" spans="1:14" x14ac:dyDescent="0.25">
      <c r="A62" s="106"/>
      <c r="K62" s="115">
        <v>51001</v>
      </c>
      <c r="L62" s="116">
        <v>52000</v>
      </c>
      <c r="M62" s="131">
        <v>1.36</v>
      </c>
      <c r="N62" s="132">
        <v>1.1599999999999999</v>
      </c>
    </row>
    <row r="63" spans="1:14" x14ac:dyDescent="0.25">
      <c r="K63" s="115">
        <v>52001</v>
      </c>
      <c r="L63" s="116">
        <v>53000</v>
      </c>
      <c r="M63" s="131">
        <v>1.19</v>
      </c>
      <c r="N63" s="132">
        <v>1.04</v>
      </c>
    </row>
    <row r="64" spans="1:14" x14ac:dyDescent="0.25">
      <c r="K64" s="115">
        <v>53001</v>
      </c>
      <c r="L64" s="116">
        <v>54000</v>
      </c>
      <c r="M64" s="131">
        <v>1.04</v>
      </c>
      <c r="N64" s="132">
        <v>0.94</v>
      </c>
    </row>
    <row r="65" spans="11:14" x14ac:dyDescent="0.25">
      <c r="K65" s="115">
        <v>54001</v>
      </c>
      <c r="L65" s="116">
        <v>55000</v>
      </c>
      <c r="M65" s="131">
        <v>0.92</v>
      </c>
      <c r="N65" s="132">
        <v>0.84</v>
      </c>
    </row>
    <row r="66" spans="11:14" x14ac:dyDescent="0.25">
      <c r="K66" s="122">
        <v>55001</v>
      </c>
      <c r="L66" s="145" t="s">
        <v>131</v>
      </c>
      <c r="M66" s="133">
        <v>0</v>
      </c>
      <c r="N66" s="134">
        <v>0</v>
      </c>
    </row>
  </sheetData>
  <mergeCells count="14">
    <mergeCell ref="A51:B51"/>
    <mergeCell ref="A48:B48"/>
    <mergeCell ref="K39:L39"/>
    <mergeCell ref="E40:I40"/>
    <mergeCell ref="E46:H46"/>
    <mergeCell ref="A1:B1"/>
    <mergeCell ref="A21:B21"/>
    <mergeCell ref="E45:F45"/>
    <mergeCell ref="A8:B8"/>
    <mergeCell ref="E42:F42"/>
    <mergeCell ref="E43:F43"/>
    <mergeCell ref="E44:F44"/>
    <mergeCell ref="E41:H41"/>
    <mergeCell ref="A17:B1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8"/>
  <sheetViews>
    <sheetView workbookViewId="0">
      <selection activeCell="G22" sqref="G22"/>
    </sheetView>
  </sheetViews>
  <sheetFormatPr defaultColWidth="8.85546875" defaultRowHeight="15" x14ac:dyDescent="0.25"/>
  <cols>
    <col min="2" max="2" width="34.28515625" customWidth="1"/>
    <col min="3" max="3" width="10.140625" bestFit="1" customWidth="1"/>
    <col min="7" max="7" width="11.85546875" customWidth="1"/>
  </cols>
  <sheetData>
    <row r="1" spans="1:7" x14ac:dyDescent="0.25">
      <c r="A1" s="42" t="s">
        <v>243</v>
      </c>
      <c r="B1" s="42"/>
      <c r="C1" s="42"/>
      <c r="D1" s="42"/>
      <c r="E1" s="42"/>
    </row>
    <row r="2" spans="1:7" x14ac:dyDescent="0.25">
      <c r="A2" s="43" t="s">
        <v>244</v>
      </c>
      <c r="B2" s="42"/>
      <c r="C2" s="42"/>
      <c r="D2" s="42"/>
      <c r="E2" s="42"/>
    </row>
    <row r="3" spans="1:7" x14ac:dyDescent="0.25">
      <c r="A3" s="42"/>
      <c r="B3" s="42"/>
      <c r="C3" s="42"/>
      <c r="D3" s="42"/>
      <c r="E3" s="42"/>
    </row>
    <row r="4" spans="1:7" x14ac:dyDescent="0.25">
      <c r="A4" s="42"/>
      <c r="B4" s="42" t="s">
        <v>245</v>
      </c>
      <c r="C4" s="42">
        <f>'1st time calculation'!B38</f>
        <v>18.176698471918499</v>
      </c>
      <c r="D4" s="42" t="s">
        <v>279</v>
      </c>
      <c r="E4" s="42"/>
    </row>
    <row r="5" spans="1:7" ht="15.75" thickBot="1" x14ac:dyDescent="0.3">
      <c r="A5" s="42"/>
      <c r="B5" s="42"/>
      <c r="C5" s="42"/>
      <c r="D5" s="42"/>
      <c r="E5" s="42"/>
    </row>
    <row r="6" spans="1:7" s="42" customFormat="1" x14ac:dyDescent="0.25">
      <c r="B6" s="244" t="s">
        <v>282</v>
      </c>
      <c r="C6" s="245"/>
      <c r="D6" s="245"/>
      <c r="E6" s="245"/>
      <c r="F6" s="245"/>
      <c r="G6" s="246"/>
    </row>
    <row r="7" spans="1:7" x14ac:dyDescent="0.25">
      <c r="A7" s="42"/>
      <c r="B7" s="171" t="s">
        <v>246</v>
      </c>
      <c r="C7" s="247">
        <v>1.6299999999999999E-2</v>
      </c>
      <c r="D7" s="95" t="s">
        <v>247</v>
      </c>
      <c r="E7" s="95"/>
      <c r="F7" s="95"/>
      <c r="G7" s="174"/>
    </row>
    <row r="8" spans="1:7" s="42" customFormat="1" ht="15.75" thickBot="1" x14ac:dyDescent="0.3">
      <c r="B8" s="181" t="s">
        <v>281</v>
      </c>
      <c r="C8" s="251">
        <f>$C$7*'1st time calculation'!B39</f>
        <v>539.22993686793404</v>
      </c>
      <c r="D8" s="251">
        <f>$C$7*'1st time calculation'!C39</f>
        <v>539.22993686793404</v>
      </c>
      <c r="E8" s="182"/>
      <c r="F8" s="182"/>
      <c r="G8" s="183"/>
    </row>
    <row r="9" spans="1:7" ht="15.75" thickBot="1" x14ac:dyDescent="0.3">
      <c r="A9" s="42"/>
      <c r="B9" s="42"/>
      <c r="C9" s="42"/>
      <c r="D9" s="42"/>
      <c r="E9" s="42"/>
    </row>
    <row r="10" spans="1:7" x14ac:dyDescent="0.25">
      <c r="A10" s="42"/>
      <c r="B10" s="244" t="s">
        <v>248</v>
      </c>
      <c r="C10" s="245"/>
      <c r="D10" s="246"/>
      <c r="E10" s="42"/>
    </row>
    <row r="11" spans="1:7" x14ac:dyDescent="0.25">
      <c r="A11" s="42"/>
      <c r="B11" s="171" t="s">
        <v>249</v>
      </c>
      <c r="C11" s="247">
        <v>4.9500000000000002E-2</v>
      </c>
      <c r="D11" s="174"/>
      <c r="E11" s="42"/>
    </row>
    <row r="12" spans="1:7" x14ac:dyDescent="0.25">
      <c r="A12" s="42"/>
      <c r="B12" s="171" t="s">
        <v>250</v>
      </c>
      <c r="C12" s="248">
        <v>3500</v>
      </c>
      <c r="D12" s="174"/>
      <c r="E12" s="42"/>
    </row>
    <row r="13" spans="1:7" s="42" customFormat="1" ht="15.75" thickBot="1" x14ac:dyDescent="0.3">
      <c r="B13" s="249" t="s">
        <v>280</v>
      </c>
      <c r="C13" s="250">
        <f>('1st time calculation'!B39-$C$12)*$C$11</f>
        <v>1464.2887653351374</v>
      </c>
      <c r="D13" s="228">
        <f>('1st time calculation'!C39-$C$12)*$C$11</f>
        <v>1464.2887653351374</v>
      </c>
    </row>
    <row r="14" spans="1:7" x14ac:dyDescent="0.25">
      <c r="A14" s="42"/>
      <c r="B14" s="42"/>
      <c r="C14" s="42"/>
      <c r="D14" s="42"/>
      <c r="E14" s="42"/>
    </row>
    <row r="15" spans="1:7" x14ac:dyDescent="0.25">
      <c r="A15" s="42"/>
      <c r="B15" s="234" t="s">
        <v>251</v>
      </c>
      <c r="C15" s="43" t="s">
        <v>252</v>
      </c>
      <c r="D15" s="43" t="s">
        <v>253</v>
      </c>
      <c r="E15" s="42"/>
    </row>
    <row r="16" spans="1:7" x14ac:dyDescent="0.25">
      <c r="A16" s="42"/>
      <c r="B16" s="42" t="s">
        <v>254</v>
      </c>
      <c r="C16" s="232">
        <v>9895</v>
      </c>
      <c r="D16" s="232">
        <v>11635</v>
      </c>
      <c r="E16" s="42"/>
    </row>
    <row r="17" spans="1:5" x14ac:dyDescent="0.25">
      <c r="A17" s="42"/>
      <c r="B17" s="42" t="s">
        <v>255</v>
      </c>
      <c r="C17" s="235">
        <v>8402</v>
      </c>
      <c r="D17" s="42"/>
      <c r="E17" s="42"/>
    </row>
    <row r="18" spans="1:5" x14ac:dyDescent="0.25">
      <c r="A18" s="42"/>
      <c r="B18" s="42" t="s">
        <v>256</v>
      </c>
      <c r="C18" s="235">
        <v>4831</v>
      </c>
      <c r="D18" s="235">
        <v>7225</v>
      </c>
      <c r="E18" s="42"/>
    </row>
    <row r="19" spans="1:5" x14ac:dyDescent="0.25">
      <c r="A19" s="42"/>
      <c r="B19" s="42" t="s">
        <v>257</v>
      </c>
      <c r="C19" s="235">
        <v>8011</v>
      </c>
      <c r="D19" s="235">
        <v>8113</v>
      </c>
      <c r="E19" s="42"/>
    </row>
    <row r="20" spans="1:5" x14ac:dyDescent="0.25">
      <c r="A20" s="42"/>
      <c r="B20" s="42" t="s">
        <v>258</v>
      </c>
      <c r="C20" s="236">
        <v>0.03</v>
      </c>
      <c r="D20" s="236">
        <v>0.03</v>
      </c>
      <c r="E20" s="42"/>
    </row>
    <row r="21" spans="1:5" x14ac:dyDescent="0.25">
      <c r="A21" s="42"/>
      <c r="B21" s="42" t="s">
        <v>259</v>
      </c>
      <c r="C21" s="233">
        <v>9.6799999999999997E-2</v>
      </c>
      <c r="D21" s="236">
        <v>0.15</v>
      </c>
      <c r="E21" s="42"/>
    </row>
    <row r="22" spans="1:5" x14ac:dyDescent="0.25">
      <c r="A22" s="42"/>
      <c r="B22" s="42" t="s">
        <v>260</v>
      </c>
      <c r="C22" s="232"/>
      <c r="D22" s="237">
        <v>1178</v>
      </c>
      <c r="E22" s="42"/>
    </row>
    <row r="23" spans="1:5" x14ac:dyDescent="0.25">
      <c r="A23" s="42"/>
      <c r="B23" s="42"/>
      <c r="C23" s="42"/>
      <c r="D23" s="42"/>
      <c r="E23" s="42"/>
    </row>
    <row r="24" spans="1:5" x14ac:dyDescent="0.25">
      <c r="A24" s="42"/>
      <c r="B24" s="166" t="s">
        <v>261</v>
      </c>
      <c r="C24" s="42"/>
      <c r="D24" s="42"/>
      <c r="E24" s="42"/>
    </row>
    <row r="25" spans="1:5" x14ac:dyDescent="0.25">
      <c r="A25" s="42"/>
      <c r="B25" s="42" t="s">
        <v>262</v>
      </c>
      <c r="C25" s="235">
        <v>16513</v>
      </c>
      <c r="D25" s="42"/>
      <c r="E25" s="42"/>
    </row>
    <row r="26" spans="1:5" x14ac:dyDescent="0.25">
      <c r="A26" s="42"/>
      <c r="B26" s="42" t="s">
        <v>263</v>
      </c>
      <c r="C26" s="238">
        <v>0.03</v>
      </c>
      <c r="D26" s="42"/>
      <c r="E26" s="42"/>
    </row>
    <row r="27" spans="1:5" x14ac:dyDescent="0.25">
      <c r="A27" s="42"/>
      <c r="B27" s="42" t="s">
        <v>264</v>
      </c>
      <c r="C27" s="235">
        <v>1282</v>
      </c>
      <c r="D27" s="42"/>
      <c r="E27" s="42"/>
    </row>
    <row r="28" spans="1:5" s="42" customFormat="1" x14ac:dyDescent="0.25">
      <c r="B28" s="242" t="s">
        <v>293</v>
      </c>
      <c r="C28" s="230">
        <f>C27-('1st time calculation'!D41-C25)*C26</f>
        <v>182.49452686650034</v>
      </c>
      <c r="D28" s="42" t="s">
        <v>294</v>
      </c>
    </row>
    <row r="29" spans="1:5" x14ac:dyDescent="0.25">
      <c r="A29" s="42"/>
      <c r="B29" s="42"/>
      <c r="C29" s="42"/>
      <c r="D29" s="42"/>
      <c r="E29" s="42"/>
    </row>
    <row r="30" spans="1:5" x14ac:dyDescent="0.25">
      <c r="A30" s="42"/>
      <c r="B30" s="234" t="s">
        <v>265</v>
      </c>
      <c r="C30" s="42"/>
      <c r="D30" s="42"/>
      <c r="E30" s="42"/>
    </row>
    <row r="31" spans="1:5" x14ac:dyDescent="0.25">
      <c r="A31" s="42"/>
      <c r="B31" s="42" t="s">
        <v>266</v>
      </c>
      <c r="C31" s="42" t="s">
        <v>267</v>
      </c>
      <c r="D31" s="42" t="s">
        <v>268</v>
      </c>
      <c r="E31" s="42"/>
    </row>
    <row r="32" spans="1:5" x14ac:dyDescent="0.25">
      <c r="A32" s="42"/>
      <c r="B32" s="232">
        <v>0</v>
      </c>
      <c r="C32" s="232">
        <v>41059</v>
      </c>
      <c r="D32" s="233">
        <v>9.6799999999999997E-2</v>
      </c>
      <c r="E32" s="42" t="s">
        <v>269</v>
      </c>
    </row>
    <row r="33" spans="1:5" x14ac:dyDescent="0.25">
      <c r="A33" s="42"/>
      <c r="B33" s="235">
        <v>41060</v>
      </c>
      <c r="C33" s="235">
        <v>82119</v>
      </c>
      <c r="D33" s="239">
        <v>0.1482</v>
      </c>
      <c r="E33" s="42"/>
    </row>
    <row r="34" spans="1:5" x14ac:dyDescent="0.25">
      <c r="A34" s="42"/>
      <c r="B34" s="235">
        <v>82120</v>
      </c>
      <c r="C34" s="235">
        <v>133507</v>
      </c>
      <c r="D34" s="239">
        <v>0.16520000000000001</v>
      </c>
      <c r="E34" s="42"/>
    </row>
    <row r="35" spans="1:5" x14ac:dyDescent="0.25">
      <c r="A35" s="42"/>
      <c r="B35" s="235">
        <v>133508</v>
      </c>
      <c r="C35" s="235">
        <v>152100</v>
      </c>
      <c r="D35" s="239">
        <v>0.1784</v>
      </c>
      <c r="E35" s="42"/>
    </row>
    <row r="36" spans="1:5" x14ac:dyDescent="0.25">
      <c r="A36" s="42"/>
      <c r="B36" s="235">
        <v>152101</v>
      </c>
      <c r="C36" s="235"/>
      <c r="D36" s="239">
        <v>0.20300000000000001</v>
      </c>
      <c r="E36" s="42"/>
    </row>
    <row r="37" spans="1:5" x14ac:dyDescent="0.25">
      <c r="A37" s="42"/>
      <c r="B37" s="42"/>
      <c r="C37" s="42"/>
      <c r="D37" s="42"/>
      <c r="E37" s="42"/>
    </row>
    <row r="38" spans="1:5" x14ac:dyDescent="0.25">
      <c r="A38" s="42"/>
      <c r="B38" s="234" t="s">
        <v>270</v>
      </c>
      <c r="C38" s="42"/>
      <c r="D38" s="42"/>
      <c r="E38" s="42"/>
    </row>
    <row r="39" spans="1:5" x14ac:dyDescent="0.25">
      <c r="A39" s="42"/>
      <c r="B39" s="42" t="s">
        <v>266</v>
      </c>
      <c r="C39" s="42" t="s">
        <v>267</v>
      </c>
      <c r="D39" s="42" t="s">
        <v>268</v>
      </c>
      <c r="E39" s="42"/>
    </row>
    <row r="40" spans="1:5" x14ac:dyDescent="0.25">
      <c r="A40" s="42"/>
      <c r="B40" s="232">
        <v>0</v>
      </c>
      <c r="C40" s="232">
        <v>46605</v>
      </c>
      <c r="D40" s="233">
        <v>0.15</v>
      </c>
      <c r="E40" s="42" t="s">
        <v>269</v>
      </c>
    </row>
    <row r="41" spans="1:5" x14ac:dyDescent="0.25">
      <c r="A41" s="42"/>
      <c r="B41" s="235">
        <v>46606</v>
      </c>
      <c r="C41" s="235">
        <v>93208</v>
      </c>
      <c r="D41" s="239">
        <v>0.20499999999999999</v>
      </c>
      <c r="E41" s="42"/>
    </row>
    <row r="42" spans="1:5" x14ac:dyDescent="0.25">
      <c r="A42" s="42"/>
      <c r="B42" s="235">
        <v>93209</v>
      </c>
      <c r="C42" s="235">
        <v>144489</v>
      </c>
      <c r="D42" s="239">
        <v>0.26</v>
      </c>
      <c r="E42" s="42"/>
    </row>
    <row r="43" spans="1:5" x14ac:dyDescent="0.25">
      <c r="A43" s="42"/>
      <c r="B43" s="235">
        <v>144490</v>
      </c>
      <c r="C43" s="235">
        <v>205842</v>
      </c>
      <c r="D43" s="239">
        <v>0.28999999999999998</v>
      </c>
      <c r="E43" s="42"/>
    </row>
    <row r="44" spans="1:5" x14ac:dyDescent="0.25">
      <c r="A44" s="42"/>
      <c r="B44" s="235">
        <v>205843</v>
      </c>
      <c r="C44" s="235"/>
      <c r="D44" s="239">
        <v>0.33</v>
      </c>
      <c r="E44" s="42"/>
    </row>
    <row r="45" spans="1:5" x14ac:dyDescent="0.25">
      <c r="A45" s="42"/>
      <c r="B45" s="42"/>
      <c r="C45" s="42"/>
      <c r="D45" s="42"/>
      <c r="E45" s="42"/>
    </row>
    <row r="46" spans="1:5" x14ac:dyDescent="0.25">
      <c r="A46" s="42"/>
      <c r="B46" s="234" t="s">
        <v>271</v>
      </c>
      <c r="C46" s="42"/>
      <c r="D46" s="42"/>
      <c r="E46" s="42"/>
    </row>
    <row r="47" spans="1:5" x14ac:dyDescent="0.25">
      <c r="A47" s="42"/>
      <c r="B47" s="42" t="s">
        <v>272</v>
      </c>
      <c r="C47" s="232">
        <v>3000</v>
      </c>
      <c r="D47" s="42"/>
      <c r="E47" s="42"/>
    </row>
    <row r="48" spans="1:5" x14ac:dyDescent="0.25">
      <c r="A48" s="42"/>
      <c r="B48" s="42" t="s">
        <v>273</v>
      </c>
      <c r="C48" s="236">
        <v>0.25</v>
      </c>
      <c r="D48" s="42"/>
      <c r="E48" s="42"/>
    </row>
    <row r="49" spans="1:5" x14ac:dyDescent="0.25">
      <c r="A49" s="42"/>
      <c r="B49" s="42" t="s">
        <v>274</v>
      </c>
      <c r="C49" s="232">
        <v>1894</v>
      </c>
      <c r="D49" s="42"/>
      <c r="E49" s="42"/>
    </row>
    <row r="50" spans="1:5" x14ac:dyDescent="0.25">
      <c r="A50" s="42"/>
      <c r="B50" s="42" t="s">
        <v>275</v>
      </c>
      <c r="C50" s="232">
        <v>28975</v>
      </c>
      <c r="D50" s="42"/>
      <c r="E50" s="42"/>
    </row>
    <row r="51" spans="1:5" x14ac:dyDescent="0.25">
      <c r="A51" s="42"/>
      <c r="B51" s="42" t="s">
        <v>276</v>
      </c>
      <c r="C51" s="232">
        <v>16348</v>
      </c>
      <c r="D51" s="42"/>
      <c r="E51" s="42"/>
    </row>
    <row r="52" spans="1:5" x14ac:dyDescent="0.25">
      <c r="A52" s="42"/>
      <c r="B52" s="42" t="s">
        <v>277</v>
      </c>
      <c r="C52" s="236">
        <v>0.15</v>
      </c>
      <c r="D52" s="42"/>
      <c r="E52" s="42"/>
    </row>
    <row r="53" spans="1:5" x14ac:dyDescent="0.25">
      <c r="A53" s="42"/>
      <c r="B53" s="42" t="s">
        <v>278</v>
      </c>
      <c r="C53" s="230">
        <f>IF('1st time calculation'!D39&lt;C50,(MIN(C48*('1st time calculation'!D39-C47),C49)-C52*('1st time calculation'!D41-C51)),0)</f>
        <v>0</v>
      </c>
      <c r="D53" s="42" t="s">
        <v>296</v>
      </c>
      <c r="E53" s="42"/>
    </row>
    <row r="54" spans="1:5" x14ac:dyDescent="0.25">
      <c r="A54" s="42"/>
      <c r="B54" s="42"/>
      <c r="C54" s="42"/>
      <c r="D54" s="42"/>
      <c r="E54" s="42"/>
    </row>
    <row r="55" spans="1:5" x14ac:dyDescent="0.25">
      <c r="B55" s="264" t="s">
        <v>286</v>
      </c>
    </row>
    <row r="56" spans="1:5" x14ac:dyDescent="0.25">
      <c r="B56" s="242" t="s">
        <v>287</v>
      </c>
      <c r="C56" s="235">
        <v>8000</v>
      </c>
    </row>
    <row r="57" spans="1:5" x14ac:dyDescent="0.25">
      <c r="B57" s="242" t="s">
        <v>288</v>
      </c>
      <c r="C57" s="235">
        <v>5000</v>
      </c>
    </row>
    <row r="58" spans="1:5" x14ac:dyDescent="0.25">
      <c r="B58" s="242" t="s">
        <v>289</v>
      </c>
      <c r="C58" s="230">
        <f>MIN((MIN('Family Expenses'!B41,C56)+MIN(SUM('Family Expenses'!B42:B44),C57)),('1st time calculation'!C11))</f>
        <v>13000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7" workbookViewId="0">
      <selection sqref="A1:D38"/>
    </sheetView>
  </sheetViews>
  <sheetFormatPr defaultColWidth="8.85546875" defaultRowHeight="15" x14ac:dyDescent="0.25"/>
  <cols>
    <col min="1" max="1" width="26.85546875" customWidth="1"/>
    <col min="2" max="2" width="27.42578125" customWidth="1"/>
    <col min="3" max="3" width="8.85546875" style="42"/>
    <col min="5" max="5" width="19.28515625" customWidth="1"/>
    <col min="6" max="6" width="12.7109375" customWidth="1"/>
    <col min="7" max="7" width="9.140625" bestFit="1" customWidth="1"/>
  </cols>
  <sheetData>
    <row r="1" spans="1:7" x14ac:dyDescent="0.25">
      <c r="A1" s="42" t="s">
        <v>137</v>
      </c>
      <c r="B1" s="42"/>
      <c r="D1" s="42"/>
      <c r="E1" s="42"/>
      <c r="F1" s="42"/>
    </row>
    <row r="2" spans="1:7" x14ac:dyDescent="0.25">
      <c r="A2" s="42" t="s">
        <v>53</v>
      </c>
      <c r="B2" s="42"/>
      <c r="D2" s="42"/>
      <c r="E2" s="42"/>
      <c r="F2" s="42"/>
    </row>
    <row r="3" spans="1:7" x14ac:dyDescent="0.25">
      <c r="A3" s="42" t="s">
        <v>54</v>
      </c>
      <c r="B3" s="42"/>
      <c r="D3" s="42"/>
      <c r="E3" s="42"/>
      <c r="F3" s="42"/>
    </row>
    <row r="4" spans="1:7" x14ac:dyDescent="0.25">
      <c r="A4" s="42" t="s">
        <v>76</v>
      </c>
      <c r="B4" s="42" t="s">
        <v>55</v>
      </c>
      <c r="C4" s="42">
        <v>2016</v>
      </c>
      <c r="D4" s="42">
        <v>2017</v>
      </c>
      <c r="E4" s="42"/>
      <c r="F4" s="42"/>
    </row>
    <row r="5" spans="1:7" x14ac:dyDescent="0.25">
      <c r="A5" s="42" t="s">
        <v>102</v>
      </c>
      <c r="B5" s="42" t="s">
        <v>77</v>
      </c>
      <c r="C5" s="42">
        <v>128.19999999999999</v>
      </c>
      <c r="D5" s="42">
        <v>131.19999999999999</v>
      </c>
      <c r="E5" s="42"/>
      <c r="F5" s="42"/>
    </row>
    <row r="6" spans="1:7" x14ac:dyDescent="0.25">
      <c r="A6" s="42" t="s">
        <v>102</v>
      </c>
      <c r="B6" s="42" t="s">
        <v>57</v>
      </c>
      <c r="C6" s="42">
        <v>150.6</v>
      </c>
      <c r="D6" s="42">
        <v>148.6</v>
      </c>
      <c r="E6" s="42"/>
      <c r="F6" s="42"/>
    </row>
    <row r="7" spans="1:7" x14ac:dyDescent="0.25">
      <c r="A7" s="42" t="s">
        <v>102</v>
      </c>
      <c r="B7" s="42" t="s">
        <v>58</v>
      </c>
      <c r="C7" s="42">
        <v>131.69999999999999</v>
      </c>
      <c r="D7" s="42">
        <v>134.6</v>
      </c>
      <c r="E7" s="42"/>
      <c r="F7" s="42"/>
    </row>
    <row r="8" spans="1:7" x14ac:dyDescent="0.25">
      <c r="A8" s="42" t="s">
        <v>102</v>
      </c>
      <c r="B8" s="42" t="s">
        <v>145</v>
      </c>
      <c r="C8" s="42">
        <v>114.4</v>
      </c>
      <c r="D8" s="42">
        <v>115.2</v>
      </c>
      <c r="E8" s="42"/>
      <c r="F8" s="42"/>
    </row>
    <row r="9" spans="1:7" x14ac:dyDescent="0.25">
      <c r="A9" s="42" t="s">
        <v>102</v>
      </c>
      <c r="B9" s="42" t="s">
        <v>146</v>
      </c>
      <c r="C9" s="42">
        <v>114.6</v>
      </c>
      <c r="D9" s="42">
        <v>115.2</v>
      </c>
      <c r="E9" s="42"/>
      <c r="F9" s="42"/>
      <c r="G9" s="37"/>
    </row>
    <row r="10" spans="1:7" x14ac:dyDescent="0.25">
      <c r="A10" s="42" t="s">
        <v>102</v>
      </c>
      <c r="B10" s="42" t="s">
        <v>59</v>
      </c>
      <c r="C10" s="42">
        <v>97.9</v>
      </c>
      <c r="D10" s="42">
        <v>100.4</v>
      </c>
      <c r="E10" s="42"/>
      <c r="F10" s="42"/>
    </row>
    <row r="11" spans="1:7" x14ac:dyDescent="0.25">
      <c r="A11" s="42" t="s">
        <v>102</v>
      </c>
      <c r="B11" s="42" t="s">
        <v>10</v>
      </c>
      <c r="C11" s="42">
        <v>122.2</v>
      </c>
      <c r="D11" s="42">
        <v>127.8</v>
      </c>
      <c r="E11" s="42"/>
      <c r="F11" s="42"/>
    </row>
    <row r="12" spans="1:7" x14ac:dyDescent="0.25">
      <c r="A12" s="42" t="s">
        <v>102</v>
      </c>
      <c r="B12" s="42" t="s">
        <v>78</v>
      </c>
      <c r="C12" s="42">
        <v>135.30000000000001</v>
      </c>
      <c r="D12" s="42">
        <v>144</v>
      </c>
      <c r="E12" s="42"/>
      <c r="F12" s="42"/>
    </row>
    <row r="13" spans="1:7" x14ac:dyDescent="0.25">
      <c r="A13" s="42" t="s">
        <v>102</v>
      </c>
      <c r="B13" s="42" t="s">
        <v>60</v>
      </c>
      <c r="C13" s="42">
        <v>133.30000000000001</v>
      </c>
      <c r="D13" s="42">
        <v>147.19999999999999</v>
      </c>
      <c r="E13" s="42"/>
      <c r="F13" s="42"/>
    </row>
    <row r="14" spans="1:7" x14ac:dyDescent="0.25">
      <c r="A14" s="42" t="s">
        <v>102</v>
      </c>
      <c r="B14" s="42" t="s">
        <v>61</v>
      </c>
      <c r="C14" s="42">
        <v>113.5</v>
      </c>
      <c r="D14" s="42">
        <v>115.9</v>
      </c>
      <c r="E14" s="42"/>
      <c r="F14" s="42"/>
    </row>
    <row r="15" spans="1:7" x14ac:dyDescent="0.25">
      <c r="A15" s="42" t="s">
        <v>102</v>
      </c>
      <c r="B15" s="42" t="s">
        <v>62</v>
      </c>
      <c r="C15" s="42">
        <v>113.2</v>
      </c>
      <c r="D15" s="42">
        <v>117.5</v>
      </c>
      <c r="E15" s="42"/>
      <c r="F15" s="42"/>
    </row>
    <row r="16" spans="1:7" x14ac:dyDescent="0.25">
      <c r="A16" s="42" t="s">
        <v>102</v>
      </c>
      <c r="B16" s="42" t="s">
        <v>63</v>
      </c>
      <c r="C16" s="42">
        <v>180.6</v>
      </c>
      <c r="D16" s="42">
        <v>196.8</v>
      </c>
      <c r="E16" s="42"/>
      <c r="F16" s="42"/>
    </row>
    <row r="17" spans="1:6" x14ac:dyDescent="0.25">
      <c r="A17" s="42" t="s">
        <v>102</v>
      </c>
      <c r="B17" s="42" t="s">
        <v>64</v>
      </c>
      <c r="C17" s="42">
        <v>120.3</v>
      </c>
      <c r="D17" s="42">
        <v>123.2</v>
      </c>
      <c r="E17" s="42"/>
      <c r="F17" s="42"/>
    </row>
    <row r="18" spans="1:6" x14ac:dyDescent="0.25">
      <c r="A18" s="42" t="s">
        <v>102</v>
      </c>
      <c r="B18" s="42" t="s">
        <v>65</v>
      </c>
      <c r="C18" s="42">
        <v>125.9</v>
      </c>
      <c r="D18" s="42">
        <v>128.1</v>
      </c>
      <c r="E18" s="42"/>
      <c r="F18" s="42"/>
    </row>
    <row r="19" spans="1:6" x14ac:dyDescent="0.25">
      <c r="A19" s="42" t="s">
        <v>102</v>
      </c>
      <c r="B19" s="42" t="s">
        <v>66</v>
      </c>
      <c r="C19" s="42">
        <v>142.4</v>
      </c>
      <c r="D19" s="42">
        <v>152.9</v>
      </c>
      <c r="E19" s="42"/>
      <c r="F19" s="42"/>
    </row>
    <row r="20" spans="1:6" s="42" customFormat="1" x14ac:dyDescent="0.25">
      <c r="A20" s="42" t="s">
        <v>102</v>
      </c>
      <c r="B20" s="42" t="s">
        <v>67</v>
      </c>
      <c r="C20" s="42">
        <v>123.8</v>
      </c>
      <c r="D20" s="42">
        <v>126.5</v>
      </c>
      <c r="F20" s="46"/>
    </row>
    <row r="21" spans="1:6" s="42" customFormat="1" x14ac:dyDescent="0.25">
      <c r="A21" s="42" t="s">
        <v>102</v>
      </c>
      <c r="B21" s="42" t="s">
        <v>68</v>
      </c>
      <c r="C21" s="42">
        <v>133.9</v>
      </c>
      <c r="D21" s="42">
        <v>137.30000000000001</v>
      </c>
      <c r="F21" s="46"/>
    </row>
    <row r="22" spans="1:6" s="42" customFormat="1" x14ac:dyDescent="0.25">
      <c r="A22" s="42" t="s">
        <v>138</v>
      </c>
      <c r="B22" s="42" t="s">
        <v>77</v>
      </c>
      <c r="C22" s="42">
        <v>128</v>
      </c>
      <c r="D22" s="42">
        <v>131.1</v>
      </c>
      <c r="F22" s="46"/>
    </row>
    <row r="23" spans="1:6" x14ac:dyDescent="0.25">
      <c r="A23" s="42" t="s">
        <v>138</v>
      </c>
      <c r="B23" s="42" t="s">
        <v>58</v>
      </c>
      <c r="C23" s="42">
        <v>134.30000000000001</v>
      </c>
      <c r="D23" s="42">
        <v>137</v>
      </c>
      <c r="E23" s="42"/>
      <c r="F23" s="42"/>
    </row>
    <row r="24" spans="1:6" x14ac:dyDescent="0.25">
      <c r="A24" s="42" t="s">
        <v>138</v>
      </c>
      <c r="B24" s="42" t="s">
        <v>145</v>
      </c>
      <c r="C24" s="42">
        <v>118.4</v>
      </c>
      <c r="D24" s="42">
        <v>119.1</v>
      </c>
      <c r="E24" s="42"/>
      <c r="F24" s="42"/>
    </row>
    <row r="25" spans="1:6" x14ac:dyDescent="0.25">
      <c r="A25" s="42" t="s">
        <v>69</v>
      </c>
      <c r="B25" s="42"/>
      <c r="D25" s="42"/>
      <c r="E25" s="42"/>
      <c r="F25" s="42"/>
    </row>
    <row r="26" spans="1:6" x14ac:dyDescent="0.25">
      <c r="A26" s="42">
        <v>2</v>
      </c>
      <c r="B26" s="42" t="s">
        <v>70</v>
      </c>
      <c r="D26" s="42"/>
      <c r="E26" s="42"/>
      <c r="F26" s="42"/>
    </row>
    <row r="27" spans="1:6" x14ac:dyDescent="0.25">
      <c r="A27" s="42">
        <v>9</v>
      </c>
      <c r="B27" s="42" t="s">
        <v>139</v>
      </c>
      <c r="D27" s="42"/>
      <c r="E27" s="42"/>
      <c r="F27" s="42"/>
    </row>
    <row r="28" spans="1:6" x14ac:dyDescent="0.25">
      <c r="A28" s="42">
        <v>11</v>
      </c>
      <c r="B28" s="42" t="s">
        <v>79</v>
      </c>
      <c r="D28" s="42"/>
      <c r="E28" s="42"/>
      <c r="F28" s="42"/>
    </row>
    <row r="29" spans="1:6" x14ac:dyDescent="0.25">
      <c r="A29" s="42">
        <v>15</v>
      </c>
      <c r="B29" s="42" t="s">
        <v>80</v>
      </c>
      <c r="D29" s="42"/>
      <c r="E29" s="42"/>
      <c r="F29" s="42"/>
    </row>
    <row r="30" spans="1:6" x14ac:dyDescent="0.25">
      <c r="A30" s="42">
        <v>17</v>
      </c>
      <c r="B30" s="42" t="s">
        <v>71</v>
      </c>
      <c r="D30" s="42"/>
      <c r="E30" s="42"/>
      <c r="F30" s="42"/>
    </row>
    <row r="31" spans="1:6" x14ac:dyDescent="0.25">
      <c r="A31" s="42">
        <v>18</v>
      </c>
      <c r="B31" s="42" t="s">
        <v>140</v>
      </c>
      <c r="D31" s="42"/>
      <c r="E31" s="42"/>
      <c r="F31" s="42"/>
    </row>
    <row r="32" spans="1:6" x14ac:dyDescent="0.25">
      <c r="A32" s="42">
        <v>25</v>
      </c>
      <c r="B32" s="42" t="s">
        <v>141</v>
      </c>
      <c r="D32" s="42"/>
      <c r="E32" s="42"/>
      <c r="F32" s="42"/>
    </row>
    <row r="33" spans="1:6" x14ac:dyDescent="0.25">
      <c r="A33" s="42">
        <v>27</v>
      </c>
      <c r="B33" s="42" t="s">
        <v>72</v>
      </c>
      <c r="D33" s="42"/>
      <c r="E33" s="42"/>
      <c r="F33" s="42"/>
    </row>
    <row r="34" spans="1:6" x14ac:dyDescent="0.25">
      <c r="A34" s="42">
        <v>28</v>
      </c>
      <c r="B34" s="42" t="s">
        <v>73</v>
      </c>
      <c r="D34" s="42"/>
      <c r="E34" s="42"/>
      <c r="F34" s="42"/>
    </row>
    <row r="35" spans="1:6" x14ac:dyDescent="0.25">
      <c r="A35" s="42">
        <v>32</v>
      </c>
      <c r="B35" s="42" t="s">
        <v>147</v>
      </c>
      <c r="D35" s="42"/>
    </row>
    <row r="36" spans="1:6" x14ac:dyDescent="0.25">
      <c r="A36" s="42" t="s">
        <v>74</v>
      </c>
      <c r="B36" s="42"/>
      <c r="D36" s="42"/>
    </row>
    <row r="37" spans="1:6" x14ac:dyDescent="0.25">
      <c r="A37" s="42" t="s">
        <v>75</v>
      </c>
      <c r="B37" s="42"/>
      <c r="D37" s="42"/>
    </row>
    <row r="38" spans="1:6" x14ac:dyDescent="0.25">
      <c r="A38" s="42" t="s">
        <v>142</v>
      </c>
      <c r="B38" s="42"/>
      <c r="D38" s="42"/>
    </row>
    <row r="39" spans="1:6" x14ac:dyDescent="0.25">
      <c r="A39" s="42"/>
      <c r="B39" s="42"/>
    </row>
    <row r="40" spans="1:6" x14ac:dyDescent="0.25">
      <c r="A40" s="42"/>
      <c r="B40" s="42"/>
    </row>
    <row r="41" spans="1:6" x14ac:dyDescent="0.25">
      <c r="A41" s="42"/>
      <c r="B41" s="42"/>
    </row>
    <row r="42" spans="1:6" x14ac:dyDescent="0.25">
      <c r="A42" s="42"/>
      <c r="B42" s="42"/>
    </row>
    <row r="43" spans="1:6" x14ac:dyDescent="0.25">
      <c r="A43" s="42"/>
      <c r="B43" s="42"/>
    </row>
    <row r="44" spans="1:6" x14ac:dyDescent="0.25">
      <c r="A44" s="42"/>
      <c r="B44" s="42"/>
    </row>
    <row r="45" spans="1:6" x14ac:dyDescent="0.25">
      <c r="A45" s="42"/>
      <c r="B45" s="42"/>
    </row>
    <row r="47" spans="1:6" x14ac:dyDescent="0.25">
      <c r="A47" s="42"/>
      <c r="B47" s="42"/>
    </row>
    <row r="48" spans="1:6" x14ac:dyDescent="0.25">
      <c r="A48" s="42"/>
      <c r="B48" s="42"/>
    </row>
    <row r="49" spans="1:2" x14ac:dyDescent="0.25">
      <c r="A49" s="42"/>
      <c r="B49" s="42"/>
    </row>
    <row r="50" spans="1:2" x14ac:dyDescent="0.25">
      <c r="A50" s="42"/>
      <c r="B50" s="42"/>
    </row>
    <row r="51" spans="1:2" x14ac:dyDescent="0.25">
      <c r="A51" s="42"/>
      <c r="B51" s="42"/>
    </row>
    <row r="52" spans="1:2" x14ac:dyDescent="0.25">
      <c r="A52" s="42"/>
      <c r="B52" s="42"/>
    </row>
    <row r="53" spans="1:2" x14ac:dyDescent="0.25">
      <c r="A53" s="42"/>
      <c r="B53" s="42"/>
    </row>
    <row r="54" spans="1:2" x14ac:dyDescent="0.25">
      <c r="A54" s="42"/>
      <c r="B54" s="42"/>
    </row>
    <row r="55" spans="1:2" x14ac:dyDescent="0.25">
      <c r="A55" s="42"/>
      <c r="B55" s="42"/>
    </row>
    <row r="56" spans="1:2" x14ac:dyDescent="0.25">
      <c r="A56" s="42"/>
      <c r="B56" s="42"/>
    </row>
    <row r="57" spans="1:2" x14ac:dyDescent="0.25">
      <c r="A57" s="42"/>
      <c r="B57" s="42"/>
    </row>
    <row r="58" spans="1:2" x14ac:dyDescent="0.25">
      <c r="A58" s="42"/>
      <c r="B58" s="42"/>
    </row>
    <row r="59" spans="1:2" x14ac:dyDescent="0.25">
      <c r="A59" s="42"/>
      <c r="B59" s="42"/>
    </row>
    <row r="60" spans="1:2" x14ac:dyDescent="0.25">
      <c r="A60" s="42"/>
      <c r="B60" s="42"/>
    </row>
    <row r="61" spans="1:2" x14ac:dyDescent="0.25">
      <c r="A61" s="42"/>
      <c r="B61" s="42"/>
    </row>
    <row r="62" spans="1:2" x14ac:dyDescent="0.25">
      <c r="A62" s="42"/>
      <c r="B62" s="42"/>
    </row>
    <row r="63" spans="1:2" x14ac:dyDescent="0.25">
      <c r="A63" s="42"/>
      <c r="B63" s="42"/>
    </row>
    <row r="64" spans="1:2" x14ac:dyDescent="0.25">
      <c r="A64" s="42"/>
      <c r="B64" s="42"/>
    </row>
    <row r="65" spans="1:2" x14ac:dyDescent="0.25">
      <c r="A65" s="42"/>
      <c r="B65" s="42"/>
    </row>
    <row r="66" spans="1:2" x14ac:dyDescent="0.25">
      <c r="A66" s="42"/>
      <c r="B66" s="42"/>
    </row>
    <row r="67" spans="1:2" x14ac:dyDescent="0.25">
      <c r="A67" s="42"/>
      <c r="B67" s="42"/>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6" workbookViewId="0">
      <selection activeCell="F26" sqref="F26"/>
    </sheetView>
  </sheetViews>
  <sheetFormatPr defaultColWidth="8.85546875" defaultRowHeight="15" x14ac:dyDescent="0.25"/>
  <cols>
    <col min="1" max="1" width="35.42578125" customWidth="1"/>
    <col min="2" max="2" width="15.140625" bestFit="1" customWidth="1"/>
    <col min="3" max="3" width="11.42578125" style="42" bestFit="1" customWidth="1"/>
    <col min="4" max="5" width="11.42578125" style="42" customWidth="1"/>
  </cols>
  <sheetData>
    <row r="1" spans="1:5" x14ac:dyDescent="0.25">
      <c r="A1" s="43" t="s">
        <v>136</v>
      </c>
      <c r="B1" s="42"/>
    </row>
    <row r="2" spans="1:5" x14ac:dyDescent="0.25">
      <c r="A2" s="42" t="s">
        <v>53</v>
      </c>
      <c r="B2" s="42"/>
    </row>
    <row r="3" spans="1:5" x14ac:dyDescent="0.25">
      <c r="A3" s="42" t="s">
        <v>81</v>
      </c>
      <c r="B3" s="42"/>
    </row>
    <row r="4" spans="1:5" x14ac:dyDescent="0.25">
      <c r="A4" s="42" t="s">
        <v>82</v>
      </c>
      <c r="B4" s="42"/>
      <c r="D4" s="42" t="s">
        <v>143</v>
      </c>
    </row>
    <row r="5" spans="1:5" x14ac:dyDescent="0.25">
      <c r="A5" s="76" t="s">
        <v>103</v>
      </c>
      <c r="B5" s="75" t="s">
        <v>56</v>
      </c>
      <c r="C5" s="42">
        <v>2016</v>
      </c>
      <c r="D5" s="42">
        <v>2017</v>
      </c>
    </row>
    <row r="6" spans="1:5" x14ac:dyDescent="0.25">
      <c r="A6" s="308" t="s">
        <v>104</v>
      </c>
      <c r="B6" s="94" t="s">
        <v>83</v>
      </c>
      <c r="C6" s="38">
        <v>38598</v>
      </c>
      <c r="D6" s="38"/>
      <c r="E6" s="38"/>
    </row>
    <row r="7" spans="1:5" x14ac:dyDescent="0.25">
      <c r="A7" s="308"/>
      <c r="B7" s="94" t="s">
        <v>5</v>
      </c>
      <c r="C7" s="38">
        <v>13113</v>
      </c>
      <c r="D7" s="38"/>
      <c r="E7" s="38"/>
    </row>
    <row r="8" spans="1:5" x14ac:dyDescent="0.25">
      <c r="A8" s="308"/>
      <c r="B8" s="94" t="s">
        <v>84</v>
      </c>
      <c r="C8" s="38">
        <v>2163</v>
      </c>
      <c r="D8" s="38"/>
      <c r="E8" s="38"/>
    </row>
    <row r="9" spans="1:5" x14ac:dyDescent="0.25">
      <c r="A9" s="308"/>
      <c r="B9" s="94" t="s">
        <v>10</v>
      </c>
      <c r="C9" s="38">
        <v>4889</v>
      </c>
      <c r="D9" s="38"/>
      <c r="E9" s="38"/>
    </row>
    <row r="10" spans="1:5" x14ac:dyDescent="0.25">
      <c r="A10" s="308"/>
      <c r="B10" s="94" t="s">
        <v>8</v>
      </c>
      <c r="C10" s="38">
        <v>6921</v>
      </c>
      <c r="D10" s="38"/>
      <c r="E10" s="38"/>
    </row>
    <row r="11" spans="1:5" x14ac:dyDescent="0.25">
      <c r="A11" s="308"/>
      <c r="B11" s="94" t="s">
        <v>85</v>
      </c>
      <c r="C11" s="38">
        <v>11513</v>
      </c>
      <c r="D11" s="38"/>
      <c r="E11" s="38"/>
    </row>
    <row r="12" spans="1:5" x14ac:dyDescent="0.25">
      <c r="A12" s="309" t="s">
        <v>105</v>
      </c>
      <c r="B12" s="94" t="s">
        <v>83</v>
      </c>
      <c r="C12" s="38">
        <v>39171</v>
      </c>
      <c r="D12" s="38"/>
      <c r="E12" s="38"/>
    </row>
    <row r="13" spans="1:5" x14ac:dyDescent="0.25">
      <c r="A13" s="309"/>
      <c r="B13" s="94" t="s">
        <v>5</v>
      </c>
      <c r="C13" s="38">
        <v>13113</v>
      </c>
      <c r="D13" s="38"/>
      <c r="E13" s="38"/>
    </row>
    <row r="14" spans="1:5" x14ac:dyDescent="0.25">
      <c r="A14" s="309"/>
      <c r="B14" s="94" t="s">
        <v>84</v>
      </c>
      <c r="C14" s="38">
        <v>2163</v>
      </c>
      <c r="D14" s="38"/>
      <c r="E14" s="38"/>
    </row>
    <row r="15" spans="1:5" x14ac:dyDescent="0.25">
      <c r="A15" s="309"/>
      <c r="B15" s="94" t="s">
        <v>10</v>
      </c>
      <c r="C15" s="151">
        <v>4889</v>
      </c>
      <c r="D15" s="38">
        <f>C15*(CPI!D12/CPI!C12)</f>
        <v>5203.3702882483367</v>
      </c>
      <c r="E15" s="38"/>
    </row>
    <row r="16" spans="1:5" x14ac:dyDescent="0.25">
      <c r="A16" s="309"/>
      <c r="B16" s="94" t="s">
        <v>8</v>
      </c>
      <c r="C16" s="38">
        <v>7494</v>
      </c>
      <c r="D16" s="38"/>
      <c r="E16" s="38"/>
    </row>
    <row r="17" spans="1:7" x14ac:dyDescent="0.25">
      <c r="A17" s="309"/>
      <c r="B17" s="94" t="s">
        <v>85</v>
      </c>
      <c r="C17" s="38">
        <v>11513</v>
      </c>
      <c r="D17" s="38"/>
      <c r="E17" s="150"/>
      <c r="G17" s="42"/>
    </row>
    <row r="18" spans="1:7" x14ac:dyDescent="0.25">
      <c r="A18" s="308" t="s">
        <v>106</v>
      </c>
      <c r="B18" s="94" t="s">
        <v>83</v>
      </c>
      <c r="C18" s="38">
        <v>38592</v>
      </c>
      <c r="D18" s="38"/>
      <c r="E18" s="38"/>
      <c r="G18" s="42"/>
    </row>
    <row r="19" spans="1:7" x14ac:dyDescent="0.25">
      <c r="A19" s="308"/>
      <c r="B19" s="94" t="s">
        <v>5</v>
      </c>
      <c r="C19" s="38">
        <v>13113</v>
      </c>
      <c r="D19" s="38"/>
      <c r="E19" s="38"/>
      <c r="G19" s="42"/>
    </row>
    <row r="20" spans="1:7" x14ac:dyDescent="0.25">
      <c r="A20" s="308"/>
      <c r="B20" s="94" t="s">
        <v>84</v>
      </c>
      <c r="C20" s="38">
        <v>2163</v>
      </c>
      <c r="D20" s="38"/>
      <c r="E20" s="38"/>
      <c r="G20" s="42"/>
    </row>
    <row r="21" spans="1:7" x14ac:dyDescent="0.25">
      <c r="A21" s="308"/>
      <c r="B21" s="94" t="s">
        <v>10</v>
      </c>
      <c r="C21" s="38">
        <v>4889</v>
      </c>
      <c r="D21" s="38"/>
      <c r="E21" s="38"/>
      <c r="G21" s="42"/>
    </row>
    <row r="22" spans="1:7" x14ac:dyDescent="0.25">
      <c r="A22" s="308"/>
      <c r="B22" s="94" t="s">
        <v>8</v>
      </c>
      <c r="C22" s="38">
        <v>6914</v>
      </c>
      <c r="D22" s="38"/>
      <c r="E22" s="38"/>
      <c r="G22" s="42"/>
    </row>
    <row r="23" spans="1:7" x14ac:dyDescent="0.25">
      <c r="A23" s="308"/>
      <c r="B23" s="94" t="s">
        <v>85</v>
      </c>
      <c r="C23" s="38">
        <v>11513</v>
      </c>
      <c r="D23" s="38"/>
      <c r="E23" s="38"/>
      <c r="G23" s="42"/>
    </row>
    <row r="24" spans="1:7" x14ac:dyDescent="0.25">
      <c r="A24" s="308" t="s">
        <v>107</v>
      </c>
      <c r="B24" s="94" t="s">
        <v>83</v>
      </c>
      <c r="C24" s="38">
        <v>39721</v>
      </c>
      <c r="D24" s="38"/>
      <c r="E24" s="38"/>
      <c r="G24" s="42"/>
    </row>
    <row r="25" spans="1:7" x14ac:dyDescent="0.25">
      <c r="A25" s="308"/>
      <c r="B25" s="94" t="s">
        <v>5</v>
      </c>
      <c r="C25" s="38">
        <v>13028</v>
      </c>
      <c r="D25" s="38"/>
      <c r="E25" s="38"/>
      <c r="G25" s="42"/>
    </row>
    <row r="26" spans="1:7" x14ac:dyDescent="0.25">
      <c r="A26" s="308"/>
      <c r="B26" s="94" t="s">
        <v>84</v>
      </c>
      <c r="C26" s="38">
        <v>2163</v>
      </c>
      <c r="D26" s="38"/>
      <c r="E26" s="38"/>
      <c r="G26" s="42"/>
    </row>
    <row r="27" spans="1:7" x14ac:dyDescent="0.25">
      <c r="A27" s="308"/>
      <c r="B27" s="94" t="s">
        <v>10</v>
      </c>
      <c r="C27" s="38">
        <v>2867</v>
      </c>
      <c r="D27" s="38"/>
      <c r="E27" s="38"/>
      <c r="G27" s="42"/>
    </row>
    <row r="28" spans="1:7" x14ac:dyDescent="0.25">
      <c r="A28" s="308"/>
      <c r="B28" s="94" t="s">
        <v>8</v>
      </c>
      <c r="C28" s="38">
        <v>10214</v>
      </c>
      <c r="D28" s="38"/>
      <c r="E28" s="38"/>
      <c r="G28" s="42"/>
    </row>
    <row r="29" spans="1:7" x14ac:dyDescent="0.25">
      <c r="A29" s="308"/>
      <c r="B29" s="94" t="s">
        <v>85</v>
      </c>
      <c r="C29" s="38">
        <v>11449</v>
      </c>
      <c r="D29" s="38"/>
      <c r="E29" s="38"/>
      <c r="G29" s="47"/>
    </row>
    <row r="30" spans="1:7" x14ac:dyDescent="0.25">
      <c r="A30" s="308" t="s">
        <v>108</v>
      </c>
      <c r="B30" s="94" t="s">
        <v>83</v>
      </c>
      <c r="C30" s="151">
        <v>37143</v>
      </c>
      <c r="D30" s="38"/>
      <c r="E30" s="38"/>
      <c r="G30" s="42"/>
    </row>
    <row r="31" spans="1:7" x14ac:dyDescent="0.25">
      <c r="A31" s="308"/>
      <c r="B31" s="94" t="s">
        <v>5</v>
      </c>
      <c r="C31" s="151">
        <v>12803</v>
      </c>
      <c r="D31" s="38">
        <f>C31*CPI!D6/CPI!C6</f>
        <v>12632.973439575033</v>
      </c>
      <c r="E31" s="38"/>
      <c r="G31" s="42"/>
    </row>
    <row r="32" spans="1:7" x14ac:dyDescent="0.25">
      <c r="A32" s="308"/>
      <c r="B32" s="94" t="s">
        <v>84</v>
      </c>
      <c r="C32" s="151">
        <v>2163</v>
      </c>
      <c r="D32" s="38">
        <f>C32*CPI!D10/CPI!C10</f>
        <v>2218.23493360572</v>
      </c>
      <c r="E32" s="38"/>
      <c r="G32" s="42"/>
    </row>
    <row r="33" spans="1:5" x14ac:dyDescent="0.25">
      <c r="A33" s="308"/>
      <c r="B33" s="94" t="s">
        <v>10</v>
      </c>
      <c r="C33" s="151">
        <v>2927</v>
      </c>
      <c r="D33" s="38"/>
      <c r="E33" s="38"/>
    </row>
    <row r="34" spans="1:5" x14ac:dyDescent="0.25">
      <c r="A34" s="308"/>
      <c r="B34" s="94" t="s">
        <v>8</v>
      </c>
      <c r="C34" s="151">
        <v>7971</v>
      </c>
      <c r="D34" s="38"/>
      <c r="E34" s="38"/>
    </row>
    <row r="35" spans="1:5" x14ac:dyDescent="0.25">
      <c r="A35" s="308"/>
      <c r="B35" s="94" t="s">
        <v>85</v>
      </c>
      <c r="C35" s="151">
        <v>11279</v>
      </c>
      <c r="D35" s="38">
        <f>(D31+D32)*E35</f>
        <v>11192.488256120922</v>
      </c>
      <c r="E35" s="152">
        <f>C35/(C31+C32)</f>
        <v>0.75364158759855671</v>
      </c>
    </row>
    <row r="36" spans="1:5" s="42" customFormat="1" x14ac:dyDescent="0.25">
      <c r="A36" s="308" t="s">
        <v>109</v>
      </c>
      <c r="B36" s="94" t="s">
        <v>83</v>
      </c>
      <c r="C36" s="38">
        <v>35698</v>
      </c>
      <c r="D36" s="38"/>
      <c r="E36" s="38"/>
    </row>
    <row r="37" spans="1:5" s="42" customFormat="1" x14ac:dyDescent="0.25">
      <c r="A37" s="308"/>
      <c r="B37" s="94" t="s">
        <v>5</v>
      </c>
      <c r="C37" s="38">
        <v>11591</v>
      </c>
      <c r="D37" s="38"/>
      <c r="E37" s="38"/>
    </row>
    <row r="38" spans="1:5" s="42" customFormat="1" x14ac:dyDescent="0.25">
      <c r="A38" s="308"/>
      <c r="B38" s="94" t="s">
        <v>84</v>
      </c>
      <c r="C38" s="38">
        <v>2163</v>
      </c>
      <c r="D38" s="38"/>
      <c r="E38" s="38"/>
    </row>
    <row r="39" spans="1:5" s="42" customFormat="1" x14ac:dyDescent="0.25">
      <c r="A39" s="308"/>
      <c r="B39" s="94" t="s">
        <v>10</v>
      </c>
      <c r="C39" s="38">
        <v>2339</v>
      </c>
      <c r="D39" s="38"/>
      <c r="E39" s="38"/>
    </row>
    <row r="40" spans="1:5" s="42" customFormat="1" x14ac:dyDescent="0.25">
      <c r="A40" s="308"/>
      <c r="B40" s="94" t="s">
        <v>8</v>
      </c>
      <c r="C40" s="38">
        <v>9240</v>
      </c>
      <c r="D40" s="38"/>
      <c r="E40" s="38"/>
    </row>
    <row r="41" spans="1:5" s="42" customFormat="1" x14ac:dyDescent="0.25">
      <c r="A41" s="308"/>
      <c r="B41" s="94" t="s">
        <v>85</v>
      </c>
      <c r="C41" s="38">
        <v>10366</v>
      </c>
      <c r="D41" s="38"/>
      <c r="E41" s="38"/>
    </row>
    <row r="42" spans="1:5" s="42" customFormat="1" x14ac:dyDescent="0.25">
      <c r="A42" s="9"/>
      <c r="B42" s="46"/>
    </row>
    <row r="43" spans="1:5" x14ac:dyDescent="0.25">
      <c r="A43" s="42" t="s">
        <v>69</v>
      </c>
      <c r="B43" s="42"/>
    </row>
    <row r="44" spans="1:5" x14ac:dyDescent="0.25">
      <c r="A44" s="42">
        <v>1</v>
      </c>
      <c r="B44" s="42" t="s">
        <v>86</v>
      </c>
    </row>
    <row r="45" spans="1:5" x14ac:dyDescent="0.25">
      <c r="A45" s="42">
        <v>2</v>
      </c>
      <c r="B45" s="45" t="s">
        <v>87</v>
      </c>
    </row>
    <row r="46" spans="1:5" x14ac:dyDescent="0.25">
      <c r="A46" s="42">
        <v>3</v>
      </c>
      <c r="B46" s="45" t="s">
        <v>88</v>
      </c>
    </row>
    <row r="47" spans="1:5" x14ac:dyDescent="0.25">
      <c r="A47" s="42" t="s">
        <v>74</v>
      </c>
      <c r="B47" s="42"/>
    </row>
    <row r="48" spans="1:5" x14ac:dyDescent="0.25">
      <c r="A48" s="42" t="s">
        <v>111</v>
      </c>
      <c r="B48" s="42"/>
    </row>
    <row r="49" spans="1:2" x14ac:dyDescent="0.25">
      <c r="A49" s="42" t="s">
        <v>110</v>
      </c>
      <c r="B49" s="42"/>
    </row>
  </sheetData>
  <mergeCells count="6">
    <mergeCell ref="A36:A41"/>
    <mergeCell ref="A6:A11"/>
    <mergeCell ref="A12:A17"/>
    <mergeCell ref="A18:A23"/>
    <mergeCell ref="A24:A29"/>
    <mergeCell ref="A30:A35"/>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1st time calculation</vt:lpstr>
      <vt:lpstr>Sheet1</vt:lpstr>
      <vt:lpstr>Table 2 calculations</vt:lpstr>
      <vt:lpstr>Family Expenses</vt:lpstr>
      <vt:lpstr>Table 4 calculations</vt:lpstr>
      <vt:lpstr>CPI</vt:lpstr>
      <vt:lpstr>MBM</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Partridge</dc:creator>
  <cp:lastModifiedBy>Christine Saulnier</cp:lastModifiedBy>
  <cp:revision/>
  <dcterms:created xsi:type="dcterms:W3CDTF">2014-07-08T21:01:56Z</dcterms:created>
  <dcterms:modified xsi:type="dcterms:W3CDTF">2018-06-25T13:22:04Z</dcterms:modified>
</cp:coreProperties>
</file>