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906"/>
  <workbookPr autoCompressPictures="0"/>
  <mc:AlternateContent xmlns:mc="http://schemas.openxmlformats.org/markup-compatibility/2006">
    <mc:Choice Requires="x15">
      <x15ac:absPath xmlns:x15ac="http://schemas.microsoft.com/office/spreadsheetml/2010/11/ac" url="/Users/christinesaulnier/Dropbox/CCPA 2007/Research/Living Wage/2021 Living Wage Calculations/"/>
    </mc:Choice>
  </mc:AlternateContent>
  <xr:revisionPtr revIDLastSave="0" documentId="8_{80E02C66-9050-44D0-AFEC-CF609FBC42D1}" xr6:coauthVersionLast="47" xr6:coauthVersionMax="47" xr10:uidLastSave="{00000000-0000-0000-0000-000000000000}"/>
  <bookViews>
    <workbookView xWindow="0" yWindow="520" windowWidth="25600" windowHeight="15500" firstSheet="4" activeTab="4" xr2:uid="{00000000-000D-0000-FFFF-FFFF00000000}"/>
  </bookViews>
  <sheets>
    <sheet name="LW 2021 Income" sheetId="1" r:id="rId1"/>
    <sheet name="Gov Transfers " sheetId="15" r:id="rId2"/>
    <sheet name="Taxes &amp; Credits" sheetId="16" r:id="rId3"/>
    <sheet name="CPI" sheetId="18" r:id="rId4"/>
    <sheet name="MBM 2019" sheetId="17" r:id="rId5"/>
    <sheet name="Family Expenses" sheetId="14" r:id="rId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7" l="1"/>
  <c r="B46" i="14" l="1"/>
  <c r="L34" i="16"/>
  <c r="C43" i="1"/>
  <c r="H34" i="16"/>
  <c r="B45" i="14"/>
  <c r="B31" i="14" l="1"/>
  <c r="B44" i="14"/>
  <c r="B43" i="14" l="1"/>
  <c r="B14" i="14"/>
  <c r="B52" i="14" l="1"/>
  <c r="B53" i="14" s="1"/>
  <c r="B25" i="14"/>
  <c r="B22" i="14"/>
  <c r="B19" i="14"/>
  <c r="H18" i="18" l="1"/>
  <c r="B30" i="14" s="1"/>
  <c r="B6" i="1" l="1"/>
  <c r="B9" i="14" l="1"/>
  <c r="C72" i="16" l="1"/>
  <c r="H43" i="16"/>
  <c r="B36" i="1" l="1"/>
  <c r="B26" i="14"/>
  <c r="B23" i="14"/>
  <c r="B14" i="1" s="1"/>
  <c r="C13" i="16" l="1"/>
  <c r="C74" i="16" s="1"/>
  <c r="C75" i="16" s="1"/>
  <c r="C76" i="16" s="1"/>
  <c r="C70" i="16"/>
  <c r="C71" i="16" s="1"/>
  <c r="C73" i="16" s="1"/>
  <c r="C14" i="1"/>
  <c r="C15" i="1"/>
  <c r="C79" i="16" l="1"/>
  <c r="C78" i="16"/>
  <c r="C6" i="1"/>
  <c r="I31" i="16" l="1"/>
  <c r="H31" i="16"/>
  <c r="H42" i="16"/>
  <c r="I42" i="16"/>
  <c r="C37" i="1"/>
  <c r="C80" i="16"/>
  <c r="D22" i="1" l="1"/>
  <c r="H62" i="16"/>
  <c r="B37" i="1" s="1"/>
  <c r="B57" i="14" l="1"/>
  <c r="B11" i="1"/>
  <c r="B29" i="14" l="1"/>
  <c r="C3" i="16"/>
  <c r="J7" i="15"/>
  <c r="J8" i="15" s="1"/>
  <c r="B48" i="14" l="1"/>
  <c r="B49" i="14" s="1"/>
  <c r="I21" i="16" l="1"/>
  <c r="I19" i="16"/>
  <c r="I17" i="16"/>
  <c r="I16" i="16"/>
  <c r="H16" i="16"/>
  <c r="C8" i="16" l="1"/>
  <c r="I40" i="16"/>
  <c r="I43" i="16"/>
  <c r="L48" i="16"/>
  <c r="C35" i="1"/>
  <c r="B20" i="14"/>
  <c r="B7" i="1" s="1"/>
  <c r="B39" i="14"/>
  <c r="L35" i="16" s="1"/>
  <c r="C10" i="1"/>
  <c r="I7" i="15" s="1"/>
  <c r="K7" i="15" s="1"/>
  <c r="B10" i="14"/>
  <c r="B11" i="14" s="1"/>
  <c r="B32" i="14"/>
  <c r="C11" i="1"/>
  <c r="I8" i="15"/>
  <c r="K8" i="15" s="1"/>
  <c r="C28" i="16"/>
  <c r="C16" i="15"/>
  <c r="C20" i="1"/>
  <c r="H40" i="16"/>
  <c r="H50" i="16"/>
  <c r="B43" i="1"/>
  <c r="I40" i="15"/>
  <c r="D21" i="1" s="1"/>
  <c r="I41" i="15"/>
  <c r="C21" i="15"/>
  <c r="C22" i="15" s="1"/>
  <c r="D34" i="1"/>
  <c r="M33" i="16" l="1"/>
  <c r="I32" i="16" s="1"/>
  <c r="I44" i="16"/>
  <c r="L55" i="16"/>
  <c r="C13" i="1"/>
  <c r="B13" i="1" s="1"/>
  <c r="B40" i="14"/>
  <c r="C9" i="1"/>
  <c r="B9" i="1" s="1"/>
  <c r="B33" i="14"/>
  <c r="C7" i="1"/>
  <c r="C12" i="1"/>
  <c r="B12" i="1" s="1"/>
  <c r="C36" i="1"/>
  <c r="I6" i="15"/>
  <c r="I14" i="15"/>
  <c r="B38" i="1"/>
  <c r="H33" i="16" s="1"/>
  <c r="B10" i="1"/>
  <c r="B12" i="14"/>
  <c r="B13" i="14" s="1"/>
  <c r="B15" i="14" s="1"/>
  <c r="I50" i="16" l="1"/>
  <c r="L49" i="16"/>
  <c r="B16" i="14"/>
  <c r="B8" i="1" s="1"/>
  <c r="D36" i="1"/>
  <c r="C38" i="1"/>
  <c r="I35" i="16" s="1"/>
  <c r="H45" i="16"/>
  <c r="H48" i="16"/>
  <c r="J6" i="15"/>
  <c r="K6" i="15" s="1"/>
  <c r="D8" i="16"/>
  <c r="I41" i="16" s="1"/>
  <c r="I9" i="15"/>
  <c r="D13" i="16"/>
  <c r="B40" i="1"/>
  <c r="H18" i="16"/>
  <c r="H20" i="16" s="1"/>
  <c r="H22" i="16" s="1"/>
  <c r="H23" i="16" s="1"/>
  <c r="H35" i="16"/>
  <c r="H24" i="16" l="1"/>
  <c r="H29" i="16" s="1"/>
  <c r="D48" i="1"/>
  <c r="C55" i="16"/>
  <c r="C8" i="1"/>
  <c r="D38" i="1"/>
  <c r="C23" i="1" s="1"/>
  <c r="I18" i="16"/>
  <c r="I20" i="16" s="1"/>
  <c r="I22" i="16" s="1"/>
  <c r="I23" i="16" s="1"/>
  <c r="I48" i="16"/>
  <c r="J9" i="15"/>
  <c r="K9" i="15" s="1"/>
  <c r="I11" i="15"/>
  <c r="C39" i="1"/>
  <c r="I30" i="16"/>
  <c r="I49" i="16"/>
  <c r="C40" i="1"/>
  <c r="I51" i="16" l="1"/>
  <c r="C41" i="1" s="1"/>
  <c r="I24" i="16"/>
  <c r="I29" i="16" s="1"/>
  <c r="C29" i="16"/>
  <c r="J49" i="15"/>
  <c r="C22" i="1" s="1"/>
  <c r="I38" i="15"/>
  <c r="D6" i="15" s="1"/>
  <c r="I39" i="15"/>
  <c r="D7" i="15" s="1"/>
  <c r="C7" i="15" s="1"/>
  <c r="I49" i="15"/>
  <c r="D8" i="15" s="1"/>
  <c r="J10" i="15"/>
  <c r="B23" i="1"/>
  <c r="J11" i="15"/>
  <c r="K11" i="15" s="1"/>
  <c r="D40" i="1"/>
  <c r="B15" i="1"/>
  <c r="C21" i="1" l="1"/>
  <c r="C6" i="15"/>
  <c r="B21" i="1" s="1"/>
  <c r="I36" i="16"/>
  <c r="I38" i="16" s="1"/>
  <c r="C42" i="1" s="1"/>
  <c r="C44" i="1" s="1"/>
  <c r="J14" i="15"/>
  <c r="K14" i="15" s="1"/>
  <c r="D43" i="1"/>
  <c r="J12" i="15"/>
  <c r="C8" i="15"/>
  <c r="B22" i="1"/>
  <c r="J13" i="15" l="1"/>
  <c r="J15" i="15"/>
  <c r="B24" i="1"/>
  <c r="C24" i="1"/>
  <c r="C45" i="1"/>
  <c r="H30" i="16"/>
  <c r="H36" i="16" s="1"/>
  <c r="H38" i="16" s="1"/>
  <c r="B42" i="1" s="1"/>
  <c r="H41" i="16"/>
  <c r="H49" i="16" s="1"/>
  <c r="H51" i="16" s="1"/>
  <c r="B41" i="1" s="1"/>
  <c r="B39" i="1"/>
  <c r="D49" i="1" l="1"/>
  <c r="D51" i="1"/>
  <c r="I10" i="15"/>
  <c r="K10" i="15" s="1"/>
  <c r="D39" i="1"/>
  <c r="I13" i="15"/>
  <c r="K13" i="15" s="1"/>
  <c r="D42" i="1"/>
  <c r="I12" i="15"/>
  <c r="K12" i="15" s="1"/>
  <c r="B44" i="1"/>
  <c r="D41" i="1"/>
  <c r="D50" i="1" l="1"/>
  <c r="D52" i="1" s="1"/>
  <c r="I15" i="15"/>
  <c r="K15" i="15" s="1"/>
  <c r="D44" i="1"/>
  <c r="B45" i="1"/>
  <c r="C16" i="1"/>
  <c r="C29" i="1" s="1"/>
  <c r="B16" i="1"/>
  <c r="C28" i="1" l="1"/>
  <c r="D45" i="1"/>
  <c r="D6" i="1"/>
  <c r="D10" i="1"/>
  <c r="D7" i="1"/>
  <c r="D11" i="1"/>
  <c r="D9" i="1"/>
  <c r="D15" i="1"/>
  <c r="D8" i="1"/>
  <c r="D13" i="1"/>
  <c r="D53" i="1"/>
  <c r="D54" i="1" s="1"/>
  <c r="D16" i="1"/>
  <c r="D12" i="1"/>
  <c r="D14" i="1"/>
  <c r="C30"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Bourgeois</author>
  </authors>
  <commentList>
    <comment ref="H64" authorId="0" shapeId="0" xr:uid="{00000000-0006-0000-0100-000003000000}">
      <text>
        <r>
          <rPr>
            <b/>
            <sz val="9"/>
            <color indexed="81"/>
            <rFont val="Tahoma"/>
            <family val="2"/>
          </rPr>
          <t>Bourgeois:</t>
        </r>
        <r>
          <rPr>
            <sz val="9"/>
            <color indexed="81"/>
            <rFont val="Tahoma"/>
            <family val="2"/>
          </rPr>
          <t xml:space="preserve">
source https://www.canada.ca/en/revenue-agency/services/child-family-benefits/provincial-territorial-programs/information-new-brunswick-harmonized-sales-tax-credit.html#Q5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Bourgeois</author>
  </authors>
  <commentList>
    <comment ref="I35" authorId="0" shapeId="0" xr:uid="{00000000-0006-0000-0200-000002000000}">
      <text>
        <r>
          <rPr>
            <b/>
            <sz val="9"/>
            <color rgb="FF000000"/>
            <rFont val="Tahoma"/>
            <family val="2"/>
          </rPr>
          <t>Bourgeois:</t>
        </r>
        <r>
          <rPr>
            <sz val="9"/>
            <color rgb="FF000000"/>
            <rFont val="Tahoma"/>
            <family val="2"/>
          </rPr>
          <t xml:space="preserve">
</t>
        </r>
        <r>
          <rPr>
            <sz val="9"/>
            <color rgb="FF000000"/>
            <rFont val="Tahoma"/>
            <family val="2"/>
          </rPr>
          <t>watch out - the rate in NS is super low - and mostlikely requires 2 income brackets</t>
        </r>
      </text>
    </comment>
  </commentList>
</comments>
</file>

<file path=xl/sharedStrings.xml><?xml version="1.0" encoding="utf-8"?>
<sst xmlns="http://schemas.openxmlformats.org/spreadsheetml/2006/main" count="431" uniqueCount="321">
  <si>
    <t>Living Wage Calculation: Halifax 2021 (based on 2020 data)</t>
  </si>
  <si>
    <t>Table I: Family Expenses--Two Adults and Two Children (age 2 and 7)</t>
  </si>
  <si>
    <t>Item</t>
  </si>
  <si>
    <t>Monthly</t>
  </si>
  <si>
    <t>Annually</t>
  </si>
  <si>
    <t>% of Total</t>
  </si>
  <si>
    <t>Food</t>
  </si>
  <si>
    <t>Clothing and Footwear</t>
  </si>
  <si>
    <t>Shelter</t>
  </si>
  <si>
    <t>Transportation</t>
  </si>
  <si>
    <t>Child Care</t>
  </si>
  <si>
    <t>Health Care</t>
  </si>
  <si>
    <t>Contingency/Emergency</t>
  </si>
  <si>
    <t>Parent Education</t>
  </si>
  <si>
    <t>Household Expenses</t>
  </si>
  <si>
    <t>Social Inclusion</t>
  </si>
  <si>
    <t>Total</t>
  </si>
  <si>
    <t>Table II:  Non-Wage Income (Government Transfers)</t>
  </si>
  <si>
    <t>Income</t>
  </si>
  <si>
    <t>No CBB at FNI</t>
  </si>
  <si>
    <t>NS Child Benefit</t>
  </si>
  <si>
    <t xml:space="preserve">CCB </t>
  </si>
  <si>
    <t xml:space="preserve">GST credit </t>
  </si>
  <si>
    <t>NS Affordable Living Credit</t>
  </si>
  <si>
    <t>Table III:  Family Income Less Family Expenses</t>
  </si>
  <si>
    <t>Available Annual Income</t>
  </si>
  <si>
    <t>Annual Family Expenses</t>
  </si>
  <si>
    <t>Gap</t>
  </si>
  <si>
    <t xml:space="preserve"> </t>
  </si>
  <si>
    <t>Table IV:  The Living Wage and Government Deductions and Taxes</t>
  </si>
  <si>
    <t>Column1</t>
  </si>
  <si>
    <t>Parent 1</t>
  </si>
  <si>
    <t>Parent 2</t>
  </si>
  <si>
    <t>Hours / Week</t>
  </si>
  <si>
    <t>Wage</t>
  </si>
  <si>
    <t>Employment Income (gross)</t>
  </si>
  <si>
    <t xml:space="preserve">Adjustments </t>
  </si>
  <si>
    <t>Adjusted Income</t>
  </si>
  <si>
    <t>EI Premiums</t>
  </si>
  <si>
    <t>CPP Premiums</t>
  </si>
  <si>
    <t>Fed. Income Tax</t>
  </si>
  <si>
    <t>Prov. Income Tax</t>
  </si>
  <si>
    <t>Fed. Refundable Credits</t>
  </si>
  <si>
    <t>After Tax Income</t>
  </si>
  <si>
    <t>Monthly After Tax Inc.</t>
  </si>
  <si>
    <t>Table V:  Family Income less Gov't Deductions and Taxes plus Gov't Transfers</t>
  </si>
  <si>
    <t>Total Annual Income from Employment</t>
  </si>
  <si>
    <t xml:space="preserve">  - EI, CPP, Fed. and Prov. Taxes</t>
  </si>
  <si>
    <t>Equals Family Take Home Pay</t>
  </si>
  <si>
    <t xml:space="preserve">  + CCB, GST, NSCB, NSALTC</t>
  </si>
  <si>
    <t>Equals Total Disposable Family Income</t>
  </si>
  <si>
    <t xml:space="preserve">  - Family Expenses</t>
  </si>
  <si>
    <t>Equals Income less expenses</t>
  </si>
  <si>
    <t>GOVERNMENT TRANSFERS 2020</t>
  </si>
  <si>
    <t>Table IIa:  Calculations for Government Tax and Transfers</t>
  </si>
  <si>
    <t>Month</t>
  </si>
  <si>
    <t>Annual</t>
  </si>
  <si>
    <t>Notes</t>
  </si>
  <si>
    <t>this years income</t>
  </si>
  <si>
    <t>CCB (jan-Jun)</t>
  </si>
  <si>
    <t>Employment Income</t>
  </si>
  <si>
    <t>CCB (jul -dec)</t>
  </si>
  <si>
    <t>Child Care Expenses</t>
  </si>
  <si>
    <t>GST credit</t>
  </si>
  <si>
    <t>NS affordable living credit</t>
  </si>
  <si>
    <t>calculated in main sheet</t>
  </si>
  <si>
    <t>Net Income</t>
  </si>
  <si>
    <t>NS child benefit</t>
  </si>
  <si>
    <t>income too high</t>
  </si>
  <si>
    <t>General Information</t>
  </si>
  <si>
    <t>number of kids under 18</t>
  </si>
  <si>
    <t>age of kid 1</t>
  </si>
  <si>
    <t>Canada Child benefit Calculation (CCB)</t>
  </si>
  <si>
    <t>age of kid 2</t>
  </si>
  <si>
    <t>January-June 2020</t>
  </si>
  <si>
    <t>1st treshold</t>
  </si>
  <si>
    <t xml:space="preserve">cells in </t>
  </si>
  <si>
    <t>need to be possibly updated</t>
  </si>
  <si>
    <t>2nd treshold</t>
  </si>
  <si>
    <t xml:space="preserve">*** use only 2019 as base </t>
  </si>
  <si>
    <t>don’t touch, unless the formula has changed</t>
  </si>
  <si>
    <t>max child under 6</t>
  </si>
  <si>
    <t>https://www.canada.ca/en/revenue-agency/services/child-family-benefits/canada-child-benefit-overview/canada-child-benefit-ccb-calculation-sheet-july-2020-june-2021-payments-2019-tax-year.html</t>
  </si>
  <si>
    <t>don't touch, they are simply linked</t>
  </si>
  <si>
    <t>max child 6 to 17</t>
  </si>
  <si>
    <t>*** July 2020-June 2021 rates used</t>
  </si>
  <si>
    <t>July-December 2020</t>
  </si>
  <si>
    <r>
      <t xml:space="preserve">reduction rates </t>
    </r>
    <r>
      <rPr>
        <b/>
        <u/>
        <sz val="12"/>
        <color theme="1"/>
        <rFont val="Calibri"/>
        <family val="2"/>
        <scheme val="minor"/>
      </rPr>
      <t>between</t>
    </r>
    <r>
      <rPr>
        <u/>
        <sz val="11"/>
        <color theme="1"/>
        <rFont val="Calibri"/>
        <family val="2"/>
        <scheme val="minor"/>
      </rPr>
      <t xml:space="preserve"> AFNI</t>
    </r>
  </si>
  <si>
    <t>1 child family</t>
  </si>
  <si>
    <t>2 chidren family</t>
  </si>
  <si>
    <t>3 children family</t>
  </si>
  <si>
    <t>4+ children family</t>
  </si>
  <si>
    <r>
      <t xml:space="preserve">plus rates  AFNI </t>
    </r>
    <r>
      <rPr>
        <b/>
        <u/>
        <sz val="12"/>
        <color theme="1"/>
        <rFont val="Calibri"/>
        <family val="2"/>
        <scheme val="minor"/>
      </rPr>
      <t>over</t>
    </r>
  </si>
  <si>
    <r>
      <t xml:space="preserve">CCB </t>
    </r>
    <r>
      <rPr>
        <b/>
        <sz val="12"/>
        <color theme="1"/>
        <rFont val="Calibri"/>
        <family val="2"/>
        <scheme val="minor"/>
      </rPr>
      <t>6 months</t>
    </r>
    <r>
      <rPr>
        <sz val="11"/>
        <color theme="1"/>
        <rFont val="Calibri"/>
        <family val="2"/>
        <scheme val="minor"/>
      </rPr>
      <t xml:space="preserve"> (Jan-June)</t>
    </r>
  </si>
  <si>
    <r>
      <t xml:space="preserve">CCB </t>
    </r>
    <r>
      <rPr>
        <b/>
        <sz val="12"/>
        <color theme="1"/>
        <rFont val="Calibri"/>
        <family val="2"/>
        <scheme val="minor"/>
      </rPr>
      <t>6 months</t>
    </r>
    <r>
      <rPr>
        <sz val="11"/>
        <color theme="1"/>
        <rFont val="Calibri"/>
        <family val="2"/>
        <scheme val="minor"/>
      </rPr>
      <t xml:space="preserve"> (July-Dec)</t>
    </r>
  </si>
  <si>
    <t>no CCB at FNI (Jan-June)</t>
  </si>
  <si>
    <t>no CCB at FNI (July-Dec)</t>
  </si>
  <si>
    <t>https://www.canada.ca/en/revenue-agency/services/child-family-benefits/canada-child-benefit-overview/canada-child-benefit-calculation-sheets.html</t>
  </si>
  <si>
    <t>GST Credit Jan-June 2019</t>
  </si>
  <si>
    <t>GST July-Dec 2019</t>
  </si>
  <si>
    <t>basic credit</t>
  </si>
  <si>
    <t>https://www.canada.ca/en/revenue-agency/services/child-family-benefits/goods-services-tax-harmonized-sales-tax-gst-hst-credit/goods-services-tax-harmonized-sales-tax-gst-hst-credit-payment-amounts-tax-years-2013-2015.html</t>
  </si>
  <si>
    <t>credit for spouse</t>
  </si>
  <si>
    <t>credit for children</t>
  </si>
  <si>
    <t>family net income treshold</t>
  </si>
  <si>
    <t>rate of net income difference</t>
  </si>
  <si>
    <t>https://www.canada.ca/en/revenue-agency/services/child-family-benefits/goods-services-tax-harmonized-sales-tax-gst-hst-credit/goods-services-tax-harmonized-sales-tax-credit-calculation-sheet-july-2018-june-2019-payments-2017-tax-year.html</t>
  </si>
  <si>
    <t>annual credit</t>
  </si>
  <si>
    <t>NB</t>
  </si>
  <si>
    <t>in this sheet, you can find all the programs values, treshold and rates used in the calculation of the programs.</t>
  </si>
  <si>
    <t>for some program, a division was made explicitely to differenciated between the calculation of the first 6 months and the last 6 months.</t>
  </si>
  <si>
    <t>the formula used to make the calculations are fixed, in the sense that if the calculation process changes, the formula will need to be changed. If the values change (example to adjust for inflation, then simply update the values in the table)</t>
  </si>
  <si>
    <t>If you received an error, you did something wrong. Either entered a bad rate, or the error will specify to what the problem is.</t>
  </si>
  <si>
    <t>FEDERAL AND PROVINCIAL TAXES AND CREDITS 2020</t>
  </si>
  <si>
    <t xml:space="preserve">Employment Insurance </t>
  </si>
  <si>
    <t xml:space="preserve">Employment Insurance rate </t>
  </si>
  <si>
    <t>EI premiums</t>
  </si>
  <si>
    <t>Canadian Pension Plan</t>
  </si>
  <si>
    <t>CPP rate</t>
  </si>
  <si>
    <t>basic exemption</t>
  </si>
  <si>
    <t>CCP premiums</t>
  </si>
  <si>
    <t>NS Basic Personal Amount Calculation</t>
  </si>
  <si>
    <t>parent 1</t>
  </si>
  <si>
    <t>parent 2</t>
  </si>
  <si>
    <t>Income tax credits</t>
  </si>
  <si>
    <t>Provincial</t>
  </si>
  <si>
    <t>Federal</t>
  </si>
  <si>
    <t>(worksheet NS428)</t>
  </si>
  <si>
    <t>https://www.canada.ca/en/revenue-agency/services/tax/individuals/frequently-asked-questions-individuals/canadian-income-tax-rates-individuals-current-previous-years.html</t>
  </si>
  <si>
    <t>basic personal amount</t>
  </si>
  <si>
    <t>base amount</t>
  </si>
  <si>
    <t>https://www.canada.ca/en/revenue-agency/services/forms-publications/tax-packages-years/general-income-tax-benefit-package/nova-scotia/5003-pc/information-residents-nova-scotia.html</t>
  </si>
  <si>
    <t>spouse equivalence amount</t>
  </si>
  <si>
    <t>supplement amount</t>
  </si>
  <si>
    <t>https://www.canada.ca/content/dam/cra-arc/formspubs/pbg/5003-d/5003-d-19e.pdf</t>
  </si>
  <si>
    <t>age amount</t>
  </si>
  <si>
    <t>amount from return</t>
  </si>
  <si>
    <t>disability amount</t>
  </si>
  <si>
    <t>x</t>
  </si>
  <si>
    <t>income threshold</t>
  </si>
  <si>
    <t>https://www.canada.ca/content/dam/cra-arc/formspubs/pbg/5003-s11/5003-s11-19e.pdf</t>
  </si>
  <si>
    <t>medical expense rate</t>
  </si>
  <si>
    <t>minus</t>
  </si>
  <si>
    <t>non-refundable tax credit rate</t>
  </si>
  <si>
    <t>applicable rate</t>
  </si>
  <si>
    <t>canada employment amount</t>
  </si>
  <si>
    <t>multiply</t>
  </si>
  <si>
    <t xml:space="preserve">Amount for young child (NS) </t>
  </si>
  <si>
    <t>low income tax reduction (provincial)</t>
  </si>
  <si>
    <t xml:space="preserve">max </t>
  </si>
  <si>
    <t>threshold amount</t>
  </si>
  <si>
    <t>phase out rate</t>
  </si>
  <si>
    <t>max reduction</t>
  </si>
  <si>
    <t>provincial income tax calculation</t>
  </si>
  <si>
    <t>*don’t touch, just to show the calculation</t>
  </si>
  <si>
    <t>low income tax deduction</t>
  </si>
  <si>
    <t>parent 2 claimed</t>
  </si>
  <si>
    <t>EI premium</t>
  </si>
  <si>
    <t>Provincial income tax rates*</t>
  </si>
  <si>
    <t>CPP premiums</t>
  </si>
  <si>
    <t>min range</t>
  </si>
  <si>
    <t>max range</t>
  </si>
  <si>
    <t>rate</t>
  </si>
  <si>
    <t>add</t>
  </si>
  <si>
    <t>tuition</t>
  </si>
  <si>
    <t>Provincial Tuition Credits</t>
  </si>
  <si>
    <t>medical expenses</t>
  </si>
  <si>
    <t>Tuition</t>
  </si>
  <si>
    <t>NS young amount</t>
  </si>
  <si>
    <t>$60/month</t>
  </si>
  <si>
    <t>base tax payable</t>
  </si>
  <si>
    <t>**</t>
  </si>
  <si>
    <t>non-refundable tax credits</t>
  </si>
  <si>
    <t>refundable tax credits</t>
  </si>
  <si>
    <t>training credit</t>
  </si>
  <si>
    <t>*income specific, if the income goes above this, it will be wrong</t>
  </si>
  <si>
    <t>net provincial tax</t>
  </si>
  <si>
    <t>Federal income tax rates*</t>
  </si>
  <si>
    <t>federal income tax calculation</t>
  </si>
  <si>
    <t>Canada employment</t>
  </si>
  <si>
    <t>tuition amounts</t>
  </si>
  <si>
    <t>medical expenses tax credit</t>
  </si>
  <si>
    <t xml:space="preserve">Federal Tuition Credits </t>
  </si>
  <si>
    <t>Canada Workers Benefit</t>
  </si>
  <si>
    <t>CWB rate</t>
  </si>
  <si>
    <t>Maximum Benefit Amount</t>
  </si>
  <si>
    <t>net federal tax</t>
  </si>
  <si>
    <t>Family Net Income to zero</t>
  </si>
  <si>
    <t>https://www.canada.ca/en/revenue-agency/services/tax/individuals/topics/about-your-tax-return/tax-return/completing-a-tax-return/deductions-credits-expenses/line-45350-canada-training-credit.html</t>
  </si>
  <si>
    <t>Base Threshold</t>
  </si>
  <si>
    <t>https://www.canada.ca/content/dam/cra-arc/formspubs/pbg/5000-s11/5000-s11-20e.pdf</t>
  </si>
  <si>
    <t>Rate for CWB reduction</t>
  </si>
  <si>
    <t>CWB amount</t>
  </si>
  <si>
    <t>trainning credit</t>
  </si>
  <si>
    <t>https://www.canada.ca/en/revenue-agency/services/child-family-benefits/canada-workers-benefit/calculation-families-canada.html</t>
  </si>
  <si>
    <t>refundable medical expense supplement</t>
  </si>
  <si>
    <t>family net income threshodl  ($27,639)</t>
  </si>
  <si>
    <t>Childcare Tax Credit</t>
  </si>
  <si>
    <t>One child under 6</t>
  </si>
  <si>
    <t>https://www.canada.ca/en/revenue-agency/services/tax/individuals/frequently-asked-questions-individuals/adjustment-personal-income-tax-benefit-amounts.html#nrtc-metc</t>
  </si>
  <si>
    <t>One child over 6</t>
  </si>
  <si>
    <t>NB: values in bold are used</t>
  </si>
  <si>
    <t>ccp contribution +   enhanced contribution</t>
  </si>
  <si>
    <t>https://www.canada.ca/content/dam/cra-arc/formspubs/pbg/5000-s8/5000-s8-20e.pdf</t>
  </si>
  <si>
    <t>ccp pensionable earnings</t>
  </si>
  <si>
    <t>not sure about this</t>
  </si>
  <si>
    <t>less of the two</t>
  </si>
  <si>
    <t>ccp exemption</t>
  </si>
  <si>
    <t>minus (earnings subject to ccp)</t>
  </si>
  <si>
    <t>actual ccp contribution</t>
  </si>
  <si>
    <t>actual base contribution</t>
  </si>
  <si>
    <t>actual enhanced const4rubtion</t>
  </si>
  <si>
    <t>required base contribituion</t>
  </si>
  <si>
    <t>required enhanced contribution</t>
  </si>
  <si>
    <t>Consumer Price Index, annual average, not seasonally adjusted</t>
  </si>
  <si>
    <t>Frequency: Annual</t>
  </si>
  <si>
    <t>Table: 18-10-0005-01 (formerly CANSIM 326-0021)</t>
  </si>
  <si>
    <t>Release date: 2021-01-20</t>
  </si>
  <si>
    <t>Geography: Canada, Province or territory, Census subdivision, Census metropolitan area, Census metropolitan area part</t>
  </si>
  <si>
    <t>Nova Scotia</t>
  </si>
  <si>
    <t>avg Jan-June</t>
  </si>
  <si>
    <t>Halifax, Nova Scotia 5</t>
  </si>
  <si>
    <t>Products and product groups 4</t>
  </si>
  <si>
    <t>2002=100</t>
  </si>
  <si>
    <t>All-items</t>
  </si>
  <si>
    <t>Food 6</t>
  </si>
  <si>
    <t>..</t>
  </si>
  <si>
    <t>Shelter 7</t>
  </si>
  <si>
    <t>Rented accommodation</t>
  </si>
  <si>
    <t>Rent 8</t>
  </si>
  <si>
    <t>Clothing and footwear</t>
  </si>
  <si>
    <t>Operation of passenger vehicles</t>
  </si>
  <si>
    <t>Private transportation excluding gasoline</t>
  </si>
  <si>
    <t>Energy 9</t>
  </si>
  <si>
    <t>Symbol legend:</t>
  </si>
  <si>
    <t xml:space="preserve"> not available for a specific reference period</t>
  </si>
  <si>
    <t>Footnotes:</t>
  </si>
  <si>
    <t>The Consumer Price Index (CPI) is not a cost-of-living index. The objective behind a cost-of-living index is to measure changes in expenditures necessary for consumers to maintain a constant standard of living. The idea is that consumers would normally switch between products as the price relationship of goods changes. If, for example, consumers get the same satisfaction from drinking tea as they do from coffee, then it is possible to substitute tea for coffee if the price of tea falls relative to the price of coffee. The cheaper of the interchangeable products may be chosen. We could compute a cost-of-living index for an individual if we had complete information about that person's taste and spending habits. To do this for a large number of people, let alone the total population of Canada, is impossible. For this reason, regularly published price indexes are based on the fixed-basket concept rather than the cost-of-living concept.</t>
  </si>
  <si>
    <t>This table replaces table 18-10-0009-01 which was archived with the release of April 2007 data.</t>
  </si>
  <si>
    <t>In April, May, June, July, August, September, October, November and December 2020 certain sub-indexes and components thereof were imputed using special approaches in either one, or more months. The details of these treatments are provided in technical supplements available through the &lt;a href=https://www150.statcan.gc.ca/n1/en/catalogue/62F0014M"&gt;Prices Analytical Series&lt;/a&gt;. The affected indexes include child care services; housekeeping services; air transportation; personal care services; recreational services; travel tours; spectator entertainment; use of recreational facilities; beer served in licensed establishments; wine served in licensed establishments</t>
  </si>
  <si>
    <t xml:space="preserve"> and liquor served in licensed establishments."</t>
  </si>
  <si>
    <t>The goods and services that make up the Consumer Price Index (CPI) are organized according to a hierarchical structure with the all-items CPI" as the top level. Eight major components of goods and services make up the "all-items CPI". They are: "food"</t>
  </si>
  <si>
    <t xml:space="preserve"> "shelter"</t>
  </si>
  <si>
    <t xml:space="preserve"> "household operations</t>
  </si>
  <si>
    <t xml:space="preserve"> furnishings and equipment"</t>
  </si>
  <si>
    <t xml:space="preserve"> "clothing and footwear"</t>
  </si>
  <si>
    <t xml:space="preserve"> "transportation"</t>
  </si>
  <si>
    <t xml:space="preserve"> "health and personal care"</t>
  </si>
  <si>
    <t xml:space="preserve"> "recreation</t>
  </si>
  <si>
    <t xml:space="preserve"> education and reading"</t>
  </si>
  <si>
    <t xml:space="preserve"> and "alcoholic beverages</t>
  </si>
  <si>
    <t xml:space="preserve"> tobacco products and recreational cannabis". These eight components are broken down into a varying number of sub-groups which are in turn broken down into other sub-groups. Indents are used to identify the components that make up each level of aggregation. For example</t>
  </si>
  <si>
    <t xml:space="preserve"> the eight major components appear with one indent relative to the "all-items CPI" to show that they are combined to obtain the "all-items CPI". NOTE: Some items are recombined outside the main structure of the CPI to obtain special aggregates such as "all-items excluding food and energy"</t>
  </si>
  <si>
    <t xml:space="preserve"> "energy"</t>
  </si>
  <si>
    <t>With the introduction of the 1992 basket in January 1995, emphasis was shifted from city data to provincial data. City all-items series were continued since many users had come to rely on this service, but the method of calculation was changed. Shelter indexes are calculated for each city. This recognizes the importance of shelter in the basket, the significant and persistent differences in price movements between cities, and the availability of local data. For the other seven major components, the movement of the provincial counterpart is used except in the cases of Montréal, Toronto, and Vancouver, where a sub-provincial counterpart is used. The major components are aggregated using the city's expenditure pattern to arrive at each city's all-items index.</t>
  </si>
  <si>
    <t>Food includes non-alcoholic beverages.</t>
  </si>
  <si>
    <t>Part of the increase first recorded in the shelter index for Yellowknife for December 2004 inadvertently reflected rent increases that actually occurred earlier. As a result, the change in the shelter index was overstated in December 2004, and was understated in the previous two years. The shelter index series for Yellowknife has been corrected from December 2002. In addition, the Yellowknife All-items consumer price index (CPI) and some Yellowknife special aggregate index series have also changed. Data for Canada and all other provinces and territories were not affected.</t>
  </si>
  <si>
    <t>Revision of the methodology of the rent component (http://www23.statcan.gc.ca/imdb-bmdi/document/2301_D41_T9_V1-eng.pdf) of the Consumer Price Index (CPI), beginning with the July 2009 CPI.  New approach for estimating the rent component (https://www150.statcan.gc.ca/n1/pub/62f0014m/62f0014m2019002-eng.htm) of the Consumer Price Index, beginning with the January 2019 CPI.</t>
  </si>
  <si>
    <t>The special aggregate energy" includes: "electricity"</t>
  </si>
  <si>
    <t xml:space="preserve"> "natural gas"</t>
  </si>
  <si>
    <t xml:space="preserve"> "fuel oil and other fuels"</t>
  </si>
  <si>
    <t xml:space="preserve"> "gasoline"</t>
  </si>
  <si>
    <t xml:space="preserve"> and "fuel</t>
  </si>
  <si>
    <t xml:space="preserve"> parts and accessories for recreational vehicles"."</t>
  </si>
  <si>
    <t>How to cite: Statistics Canada. Table 18-10-0005-01  Consumer Price Index, annual average, not seasonally adjusted</t>
  </si>
  <si>
    <t>https://www150.statcan.gc.ca/t1/tbl1/en/tv.action?pid=1810000501</t>
  </si>
  <si>
    <t>Market Basket Measure (MBM) thresholds for the reference family by Market Basket Measure region, component and base year</t>
  </si>
  <si>
    <t>Table: 11-10-0066-01</t>
  </si>
  <si>
    <t>Release date: 2021-03-23</t>
  </si>
  <si>
    <t>Geography: Census metropolitan area, Census agglomeration, Census metropolitan area part</t>
  </si>
  <si>
    <t>2018 base</t>
  </si>
  <si>
    <t xml:space="preserve">2019 constant dollars
</t>
  </si>
  <si>
    <t>Total threshold</t>
  </si>
  <si>
    <t>Clothing</t>
  </si>
  <si>
    <t>Other expenses</t>
  </si>
  <si>
    <t>Geography 4</t>
  </si>
  <si>
    <t>Nova Scotia, rural</t>
  </si>
  <si>
    <t>Nova Scotia, population under 30,000</t>
  </si>
  <si>
    <t>Nova Scotia, population 30,000 to 99,999</t>
  </si>
  <si>
    <t>Halifax, Nova Scotia</t>
  </si>
  <si>
    <t xml:space="preserve">Source: Centre for Income and Socioeconomic Well-being Statistics, Statistics Canada
</t>
  </si>
  <si>
    <t>The Market Basket Measure (MBM) is based on the cost of a specific basket of goods and services representing a modest, basic standard of living. It includes the costs of food, clothing, shelter, transportation and other items for a reference family. These costs are compared to the disposable income of families to determine whether or not they fall below the poverty line.</t>
  </si>
  <si>
    <t>This table has replaced archived table 11-10-0230-01.</t>
  </si>
  <si>
    <t>Rural areas: includes communities with a population of less than 1,000 or with a population density less than 400 persons per square kilometer that are located outside Census metropolitan areas (CMAs) or Census agglomerations (CAs). Population under 30,000 : CAs below 30,000 and population centres below 10,000 persons. Population 30,000 to 99,999 : CAs between 30,000 and 99,999 persons. Population 100,000 to 499,999: CMAs between 100,000 and 499,999. Population 500,000 and over: CMAs with 500,000 or more persons. Specific city name refers to the population within the CMA or CA.</t>
  </si>
  <si>
    <t>How to cite: Statistics Canada. Table 11-10-0066-01  Market Basket Measure (MBM) thresholds for the reference family by Market Basket Measure region, component and base year</t>
  </si>
  <si>
    <t>https://www150.statcan.gc.ca/t1/tbl1/en/tv.action?pid=1110006601</t>
  </si>
  <si>
    <t>Family Expenses 2020</t>
  </si>
  <si>
    <t>Reference Family: 2 adults each work 35 hours/week, 2 children (aged 2 &amp; 7)</t>
  </si>
  <si>
    <t>Shelter Costs</t>
  </si>
  <si>
    <t>Rent (CMHC, Median for 3 brm+, Oct 2020)</t>
  </si>
  <si>
    <t>Content Insurance</t>
  </si>
  <si>
    <t>NS Power</t>
  </si>
  <si>
    <t>Base Customer Charge</t>
  </si>
  <si>
    <t>Rate/KWh (1100)</t>
  </si>
  <si>
    <t>HST</t>
  </si>
  <si>
    <t>Energy Rebate</t>
  </si>
  <si>
    <t>Total Monthly for Electricity</t>
  </si>
  <si>
    <r>
      <t xml:space="preserve">Basic Internet monthly </t>
    </r>
    <r>
      <rPr>
        <sz val="10"/>
        <rFont val="Arial"/>
        <family val="2"/>
      </rPr>
      <t>(50 Mbps or More, Unlimited Data, Cable/ADSL)</t>
    </r>
  </si>
  <si>
    <t>Total Monthly for all Utilities</t>
  </si>
  <si>
    <t>Total Monthly for Shelter Costs</t>
  </si>
  <si>
    <t xml:space="preserve">Clothing MBM 2019 CPI clothing adjusted </t>
  </si>
  <si>
    <t>Total Monthly</t>
  </si>
  <si>
    <r>
      <rPr>
        <b/>
        <sz val="11"/>
        <rFont val="Calibri"/>
        <family val="2"/>
        <scheme val="minor"/>
      </rPr>
      <t>Household Essentials</t>
    </r>
    <r>
      <rPr>
        <sz val="11"/>
        <rFont val="Calibri"/>
        <family val="2"/>
        <scheme val="minor"/>
      </rPr>
      <t xml:space="preserve"> (60% of MBM other, 2019 adj CPI all items)</t>
    </r>
  </si>
  <si>
    <r>
      <rPr>
        <b/>
        <sz val="10"/>
        <rFont val="Arial"/>
        <family val="2"/>
      </rPr>
      <t>Social Inclusion</t>
    </r>
    <r>
      <rPr>
        <sz val="10"/>
        <rFont val="Arial"/>
        <family val="2"/>
      </rPr>
      <t xml:space="preserve"> (40% MBM, other, 2019, adj CPI all items)</t>
    </r>
  </si>
  <si>
    <t>12 monthly bus passes for 1 adult  (Upass only for f/t students)</t>
  </si>
  <si>
    <t>Private Vehicle (MBM 2019, adjusted CPI Operation Passenger Vehicle)</t>
  </si>
  <si>
    <t>Taxi (1 return trip per week for 8 months or 32 weeks)</t>
  </si>
  <si>
    <t>Total Annual</t>
  </si>
  <si>
    <t>Cost per unit</t>
  </si>
  <si>
    <t>Average Student Fees</t>
  </si>
  <si>
    <t>Textbooks</t>
  </si>
  <si>
    <t>Total Annual (2 courses NSCC)</t>
  </si>
  <si>
    <t>Toddler Full Time Full year Licensed Chiild Care (2y/o)</t>
  </si>
  <si>
    <t>Before/After School (7y/o) 185 school days, or 10 months</t>
  </si>
  <si>
    <t>Summer (8) &amp; March Break  (1) (7y/o) 6 weeks total coverage needed</t>
  </si>
  <si>
    <t>PD (10), Dec Break (8), Nonstat Holidays (3)  (need coverage for 15 days)</t>
  </si>
  <si>
    <t>Child Care Subsidy (income too high)</t>
  </si>
  <si>
    <t xml:space="preserve">Food Costs </t>
  </si>
  <si>
    <t>MBM Food costs 2019 CPI adjusted</t>
  </si>
  <si>
    <t xml:space="preserve">Private Health Insurance </t>
  </si>
  <si>
    <t>Basic health insurance per month quoted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</si>
</sst>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164" formatCode="&quot;$&quot;#,##0;[Red]\-&quot;$&quot;#,##0"/>
    <numFmt numFmtId="165" formatCode="_-&quot;$&quot;* #,##0.00_-;\-&quot;$&quot;* #,##0.00_-;_-&quot;$&quot;* &quot;-&quot;??_-;_-@_-"/>
    <numFmt numFmtId="166" formatCode="&quot;$&quot;#,##0.00"/>
    <numFmt numFmtId="167" formatCode="0.0%"/>
    <numFmt numFmtId="168" formatCode="0.000"/>
    <numFmt numFmtId="169" formatCode="0.0"/>
    <numFmt numFmtId="170" formatCode="#,##0.00\ &quot;$&quot;"/>
  </numFmts>
  <fonts count="44">
    <font>
      <sz val="11"/>
      <color theme="1"/>
      <name val="Calibri"/>
      <family val="2"/>
      <scheme val="minor"/>
    </font>
    <font>
      <sz val="11"/>
      <color indexed="8"/>
      <name val="Calibri"/>
      <family val="2"/>
    </font>
    <font>
      <sz val="10"/>
      <name val="Arial"/>
      <family val="2"/>
    </font>
    <font>
      <b/>
      <sz val="10"/>
      <name val="Arial"/>
      <family val="2"/>
    </font>
    <font>
      <b/>
      <sz val="12"/>
      <name val="Arial"/>
      <family val="2"/>
    </font>
    <font>
      <sz val="10"/>
      <name val="Verdana"/>
      <family val="2"/>
    </font>
    <font>
      <b/>
      <sz val="11"/>
      <color indexed="8"/>
      <name val="Calibri"/>
      <family val="2"/>
    </font>
    <font>
      <sz val="8"/>
      <name val="Calibri"/>
      <family val="2"/>
    </font>
    <font>
      <sz val="11"/>
      <name val="Calibri"/>
      <family val="2"/>
    </font>
    <font>
      <sz val="11"/>
      <color rgb="FF006100"/>
      <name val="Calibri"/>
      <family val="2"/>
      <scheme val="minor"/>
    </font>
    <font>
      <b/>
      <sz val="15"/>
      <color theme="3"/>
      <name val="Calibri"/>
      <family val="2"/>
      <scheme val="minor"/>
    </font>
    <font>
      <b/>
      <sz val="13"/>
      <color theme="3"/>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u/>
      <sz val="11"/>
      <color theme="11"/>
      <name val="Calibri"/>
      <family val="2"/>
      <scheme val="minor"/>
    </font>
    <font>
      <b/>
      <sz val="16"/>
      <color indexed="54"/>
      <name val="Calibri"/>
      <family val="2"/>
    </font>
    <font>
      <b/>
      <sz val="11"/>
      <name val="Arial"/>
      <family val="2"/>
    </font>
    <font>
      <sz val="11"/>
      <color theme="1"/>
      <name val="Calibri"/>
      <family val="2"/>
      <scheme val="minor"/>
    </font>
    <font>
      <sz val="11"/>
      <name val="Calibri"/>
      <family val="2"/>
      <scheme val="minor"/>
    </font>
    <font>
      <b/>
      <sz val="14"/>
      <color theme="1"/>
      <name val="Calibri"/>
      <family val="2"/>
      <scheme val="minor"/>
    </font>
    <font>
      <sz val="11"/>
      <color rgb="FF3F3F76"/>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b/>
      <sz val="13"/>
      <color theme="1"/>
      <name val="Calibri"/>
      <family val="2"/>
      <scheme val="minor"/>
    </font>
    <font>
      <b/>
      <sz val="10"/>
      <name val="Verdana"/>
      <family val="2"/>
    </font>
    <font>
      <b/>
      <sz val="11"/>
      <color rgb="FF3F3F76"/>
      <name val="Calibri"/>
      <family val="2"/>
      <scheme val="minor"/>
    </font>
    <font>
      <u/>
      <sz val="10"/>
      <name val="Verdana"/>
      <family val="2"/>
    </font>
    <font>
      <u/>
      <sz val="11"/>
      <color theme="1"/>
      <name val="Calibri"/>
      <family val="2"/>
      <scheme val="minor"/>
    </font>
    <font>
      <b/>
      <u/>
      <sz val="12"/>
      <color theme="1"/>
      <name val="Calibri"/>
      <family val="2"/>
      <scheme val="minor"/>
    </font>
    <font>
      <b/>
      <sz val="12"/>
      <color theme="1"/>
      <name val="Calibri"/>
      <family val="2"/>
      <scheme val="minor"/>
    </font>
    <font>
      <b/>
      <sz val="9"/>
      <color indexed="81"/>
      <name val="Tahoma"/>
      <family val="2"/>
    </font>
    <font>
      <sz val="9"/>
      <color indexed="81"/>
      <name val="Tahoma"/>
      <family val="2"/>
    </font>
    <font>
      <b/>
      <sz val="11"/>
      <name val="Calibri"/>
      <family val="2"/>
      <scheme val="minor"/>
    </font>
    <font>
      <sz val="11"/>
      <color theme="0"/>
      <name val="Calibri"/>
      <family val="2"/>
      <scheme val="minor"/>
    </font>
    <font>
      <b/>
      <sz val="11"/>
      <color rgb="FF006100"/>
      <name val="Calibri"/>
      <family val="2"/>
      <scheme val="minor"/>
    </font>
    <font>
      <b/>
      <sz val="9"/>
      <color rgb="FF000000"/>
      <name val="Tahoma"/>
      <family val="2"/>
    </font>
    <font>
      <sz val="9"/>
      <color rgb="FF000000"/>
      <name val="Tahoma"/>
      <family val="2"/>
    </font>
    <font>
      <b/>
      <sz val="12"/>
      <color theme="1"/>
      <name val="Calibri (Body)"/>
    </font>
    <font>
      <sz val="11"/>
      <color rgb="FF000000"/>
      <name val="Calibri"/>
      <family val="2"/>
    </font>
    <font>
      <sz val="11"/>
      <color rgb="FF000000"/>
      <name val="Calibri"/>
      <family val="2"/>
      <scheme val="minor"/>
    </font>
    <font>
      <sz val="11"/>
      <color theme="5"/>
      <name val="Helvetica"/>
      <family val="2"/>
    </font>
    <font>
      <sz val="11"/>
      <color rgb="FF9C0006"/>
      <name val="Calibri"/>
      <family val="2"/>
      <scheme val="minor"/>
    </font>
  </fonts>
  <fills count="10">
    <fill>
      <patternFill patternType="none"/>
    </fill>
    <fill>
      <patternFill patternType="gray125"/>
    </fill>
    <fill>
      <patternFill patternType="solid">
        <fgColor rgb="FFC6EFCE"/>
      </patternFill>
    </fill>
    <fill>
      <patternFill patternType="solid">
        <fgColor rgb="FFFFFF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theme="0" tint="-0.14999847407452621"/>
        <bgColor theme="0" tint="-0.14999847407452621"/>
      </patternFill>
    </fill>
    <fill>
      <patternFill patternType="solid">
        <fgColor theme="9"/>
      </patternFill>
    </fill>
    <fill>
      <patternFill patternType="solid">
        <fgColor rgb="FFFFC7CE"/>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auto="1"/>
      </left>
      <right/>
      <top/>
      <bottom/>
      <diagonal/>
    </border>
    <border>
      <left/>
      <right style="thin">
        <color auto="1"/>
      </right>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top/>
      <bottom style="double">
        <color rgb="FFFF8001"/>
      </bottom>
      <diagonal/>
    </border>
    <border>
      <left/>
      <right style="thin">
        <color auto="1"/>
      </right>
      <top/>
      <bottom style="double">
        <color rgb="FFFF8001"/>
      </bottom>
      <diagonal/>
    </border>
    <border>
      <left/>
      <right style="medium">
        <color auto="1"/>
      </right>
      <top/>
      <bottom/>
      <diagonal/>
    </border>
    <border>
      <left style="thin">
        <color auto="1"/>
      </left>
      <right/>
      <top style="double">
        <color rgb="FFFF8001"/>
      </top>
      <bottom style="double">
        <color rgb="FFFF8001"/>
      </bottom>
      <diagonal/>
    </border>
    <border>
      <left/>
      <right style="thin">
        <color auto="1"/>
      </right>
      <top style="double">
        <color rgb="FFFF8001"/>
      </top>
      <bottom style="double">
        <color rgb="FFFF8001"/>
      </bottom>
      <diagonal/>
    </border>
    <border>
      <left style="medium">
        <color auto="1"/>
      </left>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7F7F7F"/>
      </left>
      <right style="medium">
        <color auto="1"/>
      </right>
      <top style="thin">
        <color rgb="FF7F7F7F"/>
      </top>
      <bottom style="thin">
        <color rgb="FF7F7F7F"/>
      </bottom>
      <diagonal/>
    </border>
    <border>
      <left style="thin">
        <color rgb="FF7F7F7F"/>
      </left>
      <right style="medium">
        <color auto="1"/>
      </right>
      <top style="thin">
        <color rgb="FF7F7F7F"/>
      </top>
      <bottom/>
      <diagonal/>
    </border>
    <border>
      <left style="thin">
        <color rgb="FF7F7F7F"/>
      </left>
      <right style="medium">
        <color auto="1"/>
      </right>
      <top style="thin">
        <color auto="1"/>
      </top>
      <bottom style="medium">
        <color auto="1"/>
      </bottom>
      <diagonal/>
    </border>
    <border>
      <left style="medium">
        <color auto="1"/>
      </left>
      <right/>
      <top style="thin">
        <color auto="1"/>
      </top>
      <bottom/>
      <diagonal/>
    </border>
    <border>
      <left style="thin">
        <color rgb="FF7F7F7F"/>
      </left>
      <right style="medium">
        <color auto="1"/>
      </right>
      <top style="thin">
        <color auto="1"/>
      </top>
      <bottom style="thin">
        <color rgb="FF7F7F7F"/>
      </bottom>
      <diagonal/>
    </border>
    <border>
      <left style="thin">
        <color rgb="FF7F7F7F"/>
      </left>
      <right style="medium">
        <color auto="1"/>
      </right>
      <top style="thin">
        <color rgb="FF7F7F7F"/>
      </top>
      <bottom style="medium">
        <color auto="1"/>
      </bottom>
      <diagonal/>
    </border>
    <border>
      <left style="thin">
        <color rgb="FF7F7F7F"/>
      </left>
      <right style="thin">
        <color rgb="FF7F7F7F"/>
      </right>
      <top style="thin">
        <color rgb="FF7F7F7F"/>
      </top>
      <bottom style="medium">
        <color auto="1"/>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right style="medium">
        <color indexed="64"/>
      </right>
      <top/>
      <bottom style="double">
        <color rgb="FFFF8001"/>
      </bottom>
      <diagonal/>
    </border>
    <border>
      <left style="medium">
        <color indexed="64"/>
      </left>
      <right style="thin">
        <color auto="1"/>
      </right>
      <top style="thin">
        <color auto="1"/>
      </top>
      <bottom style="medium">
        <color indexed="64"/>
      </bottom>
      <diagonal/>
    </border>
    <border>
      <left style="medium">
        <color auto="1"/>
      </left>
      <right style="medium">
        <color auto="1"/>
      </right>
      <top style="medium">
        <color auto="1"/>
      </top>
      <bottom style="medium">
        <color auto="1"/>
      </bottom>
      <diagonal/>
    </border>
  </borders>
  <cellStyleXfs count="37">
    <xf numFmtId="0" fontId="0" fillId="0" borderId="0"/>
    <xf numFmtId="165" fontId="1" fillId="0" borderId="0" applyFont="0" applyFill="0" applyBorder="0" applyAlignment="0" applyProtection="0"/>
    <xf numFmtId="0" fontId="9" fillId="2" borderId="0" applyNumberFormat="0" applyBorder="0" applyAlignment="0" applyProtection="0"/>
    <xf numFmtId="0" fontId="10" fillId="0" borderId="6" applyNumberFormat="0" applyFill="0" applyAlignment="0" applyProtection="0"/>
    <xf numFmtId="0" fontId="11" fillId="0" borderId="7" applyNumberFormat="0" applyFill="0" applyAlignment="0" applyProtection="0"/>
    <xf numFmtId="9" fontId="1" fillId="0" borderId="0" applyFont="0" applyFill="0" applyBorder="0" applyAlignment="0" applyProtection="0"/>
    <xf numFmtId="0" fontId="12"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165" fontId="1" fillId="0" borderId="0" applyFont="0" applyFill="0" applyBorder="0" applyAlignment="0" applyProtection="0"/>
    <xf numFmtId="0" fontId="21" fillId="4" borderId="13" applyNumberFormat="0" applyAlignment="0" applyProtection="0"/>
    <xf numFmtId="0" fontId="22" fillId="5" borderId="13" applyNumberFormat="0" applyAlignment="0" applyProtection="0"/>
    <xf numFmtId="0" fontId="23" fillId="0" borderId="14" applyNumberFormat="0" applyFill="0" applyAlignment="0" applyProtection="0"/>
    <xf numFmtId="0" fontId="24" fillId="6" borderId="15" applyNumberFormat="0" applyAlignment="0" applyProtection="0"/>
    <xf numFmtId="0" fontId="35" fillId="8" borderId="0" applyNumberFormat="0" applyBorder="0" applyAlignment="0" applyProtection="0"/>
    <xf numFmtId="0" fontId="14" fillId="0" borderId="0" applyNumberFormat="0" applyFill="0" applyBorder="0" applyAlignment="0" applyProtection="0"/>
    <xf numFmtId="0" fontId="43" fillId="9" borderId="0" applyNumberFormat="0" applyBorder="0" applyAlignment="0" applyProtection="0"/>
  </cellStyleXfs>
  <cellXfs count="304">
    <xf numFmtId="0" fontId="0" fillId="0" borderId="0" xfId="0"/>
    <xf numFmtId="0" fontId="2" fillId="0" borderId="0" xfId="0" applyFont="1" applyFill="1"/>
    <xf numFmtId="2" fontId="2" fillId="0" borderId="0" xfId="0" applyNumberFormat="1" applyFont="1" applyFill="1"/>
    <xf numFmtId="0" fontId="3" fillId="0" borderId="0" xfId="0" applyFont="1" applyFill="1"/>
    <xf numFmtId="0" fontId="2" fillId="0" borderId="0" xfId="0" applyFont="1" applyFill="1" applyBorder="1"/>
    <xf numFmtId="0" fontId="3" fillId="0" borderId="0" xfId="0" applyFont="1" applyFill="1" applyBorder="1" applyAlignment="1">
      <alignment horizontal="center"/>
    </xf>
    <xf numFmtId="0" fontId="3" fillId="0" borderId="0" xfId="0" applyFont="1" applyFill="1" applyAlignment="1">
      <alignment horizontal="center"/>
    </xf>
    <xf numFmtId="0" fontId="3" fillId="0" borderId="0" xfId="0" applyFont="1" applyFill="1" applyBorder="1" applyAlignment="1">
      <alignment horizontal="right"/>
    </xf>
    <xf numFmtId="0" fontId="2" fillId="0" borderId="0" xfId="0" applyFont="1" applyFill="1" applyBorder="1" applyAlignment="1">
      <alignment horizontal="right"/>
    </xf>
    <xf numFmtId="0" fontId="2" fillId="0" borderId="1" xfId="0" applyFont="1" applyFill="1" applyBorder="1" applyAlignment="1">
      <alignment horizontal="right"/>
    </xf>
    <xf numFmtId="0" fontId="2" fillId="0" borderId="1" xfId="0" applyFont="1" applyFill="1" applyBorder="1" applyAlignment="1">
      <alignment horizontal="right" vertical="center"/>
    </xf>
    <xf numFmtId="168" fontId="2" fillId="0" borderId="0" xfId="0" applyNumberFormat="1" applyFont="1" applyFill="1" applyBorder="1" applyAlignment="1">
      <alignment horizontal="right"/>
    </xf>
    <xf numFmtId="166" fontId="2" fillId="0" borderId="1" xfId="0" applyNumberFormat="1" applyFont="1" applyFill="1" applyBorder="1"/>
    <xf numFmtId="0" fontId="2" fillId="0" borderId="0" xfId="0" applyFont="1" applyFill="1" applyBorder="1" applyAlignment="1">
      <alignment horizontal="center" vertical="center" wrapText="1"/>
    </xf>
    <xf numFmtId="168" fontId="2" fillId="0" borderId="0" xfId="0" applyNumberFormat="1" applyFont="1" applyFill="1" applyBorder="1" applyAlignment="1">
      <alignment horizontal="left"/>
    </xf>
    <xf numFmtId="0" fontId="2" fillId="0" borderId="0" xfId="0" applyFont="1" applyFill="1" applyAlignment="1">
      <alignment horizontal="center"/>
    </xf>
    <xf numFmtId="2" fontId="2" fillId="0" borderId="0" xfId="0" applyNumberFormat="1" applyFont="1" applyFill="1" applyBorder="1"/>
    <xf numFmtId="2" fontId="3" fillId="0" borderId="0" xfId="0" applyNumberFormat="1" applyFont="1" applyFill="1" applyBorder="1" applyAlignment="1">
      <alignment horizontal="center"/>
    </xf>
    <xf numFmtId="2" fontId="3" fillId="0" borderId="0" xfId="0" applyNumberFormat="1" applyFont="1" applyFill="1" applyBorder="1"/>
    <xf numFmtId="0" fontId="3" fillId="0" borderId="0" xfId="0" applyFont="1" applyFill="1" applyBorder="1"/>
    <xf numFmtId="0" fontId="2" fillId="0" borderId="0" xfId="0" applyFont="1" applyFill="1" applyBorder="1" applyAlignment="1">
      <alignment horizontal="center"/>
    </xf>
    <xf numFmtId="2" fontId="5" fillId="0" borderId="1" xfId="0" applyNumberFormat="1" applyFont="1" applyBorder="1"/>
    <xf numFmtId="166" fontId="2" fillId="0" borderId="1" xfId="2" applyNumberFormat="1" applyFont="1" applyFill="1" applyBorder="1"/>
    <xf numFmtId="0" fontId="2" fillId="0" borderId="4" xfId="0" applyFont="1" applyFill="1" applyBorder="1" applyAlignment="1">
      <alignment horizontal="left"/>
    </xf>
    <xf numFmtId="2" fontId="11" fillId="0" borderId="0" xfId="4" applyNumberFormat="1" applyFill="1" applyBorder="1" applyAlignment="1">
      <alignment horizontal="left"/>
    </xf>
    <xf numFmtId="0" fontId="3" fillId="0" borderId="1" xfId="0" applyFont="1" applyFill="1" applyBorder="1" applyAlignment="1">
      <alignment horizontal="center"/>
    </xf>
    <xf numFmtId="0" fontId="3" fillId="0" borderId="3" xfId="0" applyFont="1" applyFill="1" applyBorder="1" applyAlignment="1">
      <alignment horizontal="center"/>
    </xf>
    <xf numFmtId="0" fontId="3" fillId="0" borderId="1" xfId="0" applyFont="1" applyFill="1" applyBorder="1" applyAlignment="1">
      <alignment horizontal="right" vertical="center"/>
    </xf>
    <xf numFmtId="166" fontId="3" fillId="0" borderId="1" xfId="0" applyNumberFormat="1" applyFont="1" applyFill="1" applyBorder="1"/>
    <xf numFmtId="166" fontId="3" fillId="0" borderId="1" xfId="2" applyNumberFormat="1" applyFont="1" applyFill="1" applyBorder="1"/>
    <xf numFmtId="166" fontId="3" fillId="0" borderId="1" xfId="0" applyNumberFormat="1" applyFont="1" applyFill="1" applyBorder="1" applyAlignment="1">
      <alignment horizontal="right"/>
    </xf>
    <xf numFmtId="0" fontId="3" fillId="0" borderId="4" xfId="0" applyFont="1" applyFill="1" applyBorder="1" applyAlignment="1">
      <alignment horizontal="right"/>
    </xf>
    <xf numFmtId="3" fontId="0" fillId="0" borderId="0" xfId="0" applyNumberFormat="1"/>
    <xf numFmtId="164" fontId="0" fillId="0" borderId="0" xfId="0" applyNumberFormat="1"/>
    <xf numFmtId="166" fontId="0" fillId="0" borderId="0" xfId="0" applyNumberFormat="1"/>
    <xf numFmtId="167" fontId="2" fillId="0" borderId="0" xfId="2" applyNumberFormat="1" applyFont="1" applyFill="1" applyBorder="1" applyAlignment="1">
      <alignment horizontal="center"/>
    </xf>
    <xf numFmtId="166" fontId="0" fillId="0" borderId="1" xfId="0" applyNumberFormat="1" applyBorder="1"/>
    <xf numFmtId="0" fontId="4" fillId="0" borderId="0" xfId="0" applyFont="1" applyFill="1"/>
    <xf numFmtId="0" fontId="0" fillId="0" borderId="0" xfId="0"/>
    <xf numFmtId="0" fontId="13" fillId="0" borderId="0" xfId="0" applyFont="1"/>
    <xf numFmtId="0" fontId="3" fillId="0" borderId="4" xfId="0" applyFont="1" applyFill="1" applyBorder="1" applyAlignment="1">
      <alignment horizontal="center"/>
    </xf>
    <xf numFmtId="166" fontId="13" fillId="0" borderId="1" xfId="1" applyNumberFormat="1" applyFont="1" applyBorder="1"/>
    <xf numFmtId="166" fontId="0" fillId="0" borderId="1" xfId="1" applyNumberFormat="1" applyFont="1" applyBorder="1"/>
    <xf numFmtId="0" fontId="3" fillId="0" borderId="4" xfId="0" applyFont="1" applyFill="1" applyBorder="1"/>
    <xf numFmtId="0" fontId="2" fillId="0" borderId="4" xfId="2" applyFont="1" applyFill="1" applyBorder="1"/>
    <xf numFmtId="0" fontId="2" fillId="0" borderId="4" xfId="2" applyFont="1" applyFill="1" applyBorder="1" applyAlignment="1">
      <alignment horizontal="left"/>
    </xf>
    <xf numFmtId="167" fontId="2" fillId="0" borderId="3" xfId="2" applyNumberFormat="1" applyFont="1" applyFill="1" applyBorder="1" applyAlignment="1">
      <alignment horizontal="center"/>
    </xf>
    <xf numFmtId="0" fontId="3" fillId="0" borderId="8" xfId="0" applyFont="1" applyFill="1" applyBorder="1"/>
    <xf numFmtId="2" fontId="3" fillId="0" borderId="9" xfId="0" applyNumberFormat="1" applyFont="1" applyFill="1" applyBorder="1" applyAlignment="1">
      <alignment horizontal="center"/>
    </xf>
    <xf numFmtId="0" fontId="3" fillId="0" borderId="9" xfId="0" applyFont="1" applyFill="1" applyBorder="1" applyAlignment="1">
      <alignment horizontal="center"/>
    </xf>
    <xf numFmtId="0" fontId="3" fillId="0" borderId="10" xfId="0" applyFont="1" applyFill="1" applyBorder="1" applyAlignment="1">
      <alignment horizontal="center"/>
    </xf>
    <xf numFmtId="0" fontId="3" fillId="0" borderId="11" xfId="0" applyFont="1" applyFill="1" applyBorder="1"/>
    <xf numFmtId="166" fontId="3" fillId="0" borderId="2" xfId="0" applyNumberFormat="1" applyFont="1" applyFill="1" applyBorder="1"/>
    <xf numFmtId="167" fontId="3" fillId="0" borderId="12" xfId="5" applyNumberFormat="1" applyFont="1" applyFill="1" applyBorder="1" applyAlignment="1">
      <alignment horizontal="center"/>
    </xf>
    <xf numFmtId="0" fontId="3" fillId="0" borderId="8" xfId="0" applyFont="1" applyFill="1" applyBorder="1" applyAlignment="1">
      <alignment horizontal="left"/>
    </xf>
    <xf numFmtId="0" fontId="2" fillId="0" borderId="4" xfId="0" applyFont="1" applyFill="1" applyBorder="1"/>
    <xf numFmtId="0" fontId="5" fillId="0" borderId="4" xfId="0" applyFont="1" applyBorder="1"/>
    <xf numFmtId="0" fontId="3" fillId="0" borderId="4" xfId="2" applyFont="1" applyFill="1" applyBorder="1"/>
    <xf numFmtId="0" fontId="3" fillId="0" borderId="8" xfId="0" applyFont="1" applyFill="1" applyBorder="1" applyAlignment="1">
      <alignment horizontal="center"/>
    </xf>
    <xf numFmtId="2" fontId="3" fillId="0" borderId="0" xfId="0" applyNumberFormat="1" applyFont="1" applyFill="1" applyBorder="1" applyAlignment="1">
      <alignment horizontal="right"/>
    </xf>
    <xf numFmtId="166" fontId="2" fillId="0" borderId="0" xfId="1" applyNumberFormat="1" applyFont="1" applyFill="1" applyAlignment="1">
      <alignment horizontal="left"/>
    </xf>
    <xf numFmtId="166" fontId="2" fillId="0" borderId="0" xfId="0" applyNumberFormat="1" applyFont="1" applyFill="1"/>
    <xf numFmtId="0" fontId="18" fillId="0" borderId="0" xfId="0" applyFont="1"/>
    <xf numFmtId="0" fontId="19" fillId="0" borderId="0" xfId="6" applyFont="1" applyFill="1" applyAlignment="1">
      <alignment horizontal="left"/>
    </xf>
    <xf numFmtId="0" fontId="19" fillId="0" borderId="1" xfId="0" applyFont="1" applyBorder="1" applyAlignment="1">
      <alignment horizontal="left"/>
    </xf>
    <xf numFmtId="166" fontId="18" fillId="0" borderId="0" xfId="0" applyNumberFormat="1" applyFont="1"/>
    <xf numFmtId="0" fontId="0" fillId="0" borderId="0" xfId="0" applyFont="1"/>
    <xf numFmtId="166" fontId="2" fillId="0" borderId="1" xfId="2" applyNumberFormat="1" applyFont="1" applyFill="1" applyBorder="1" applyAlignment="1">
      <alignment horizontal="right"/>
    </xf>
    <xf numFmtId="166" fontId="8" fillId="0" borderId="0" xfId="0" applyNumberFormat="1" applyFont="1" applyAlignment="1">
      <alignment horizontal="right"/>
    </xf>
    <xf numFmtId="166" fontId="3" fillId="0" borderId="2" xfId="0" applyNumberFormat="1" applyFont="1" applyFill="1" applyBorder="1" applyAlignment="1">
      <alignment horizontal="right"/>
    </xf>
    <xf numFmtId="166" fontId="2" fillId="0" borderId="0" xfId="1" applyNumberFormat="1" applyFont="1" applyFill="1" applyAlignment="1">
      <alignment horizontal="right"/>
    </xf>
    <xf numFmtId="0" fontId="18" fillId="0" borderId="0" xfId="0" applyFont="1" applyAlignment="1">
      <alignment horizontal="right"/>
    </xf>
    <xf numFmtId="166" fontId="18" fillId="0" borderId="1" xfId="0" applyNumberFormat="1" applyFont="1" applyBorder="1" applyAlignment="1">
      <alignment horizontal="right"/>
    </xf>
    <xf numFmtId="0" fontId="16" fillId="0" borderId="0" xfId="3" applyFont="1" applyFill="1" applyBorder="1" applyAlignment="1"/>
    <xf numFmtId="0" fontId="2" fillId="0" borderId="1" xfId="0" applyFont="1" applyFill="1" applyBorder="1" applyAlignment="1">
      <alignment horizontal="left"/>
    </xf>
    <xf numFmtId="0" fontId="2" fillId="0" borderId="3" xfId="2" applyFont="1" applyFill="1" applyBorder="1" applyAlignment="1">
      <alignment horizontal="left"/>
    </xf>
    <xf numFmtId="0" fontId="2" fillId="0" borderId="1" xfId="2" applyFont="1" applyFill="1" applyBorder="1" applyAlignment="1">
      <alignment horizontal="left"/>
    </xf>
    <xf numFmtId="0" fontId="0" fillId="0" borderId="1" xfId="0" applyBorder="1" applyAlignment="1">
      <alignment horizontal="right"/>
    </xf>
    <xf numFmtId="0" fontId="13" fillId="0" borderId="1" xfId="0" applyFont="1" applyBorder="1" applyAlignment="1">
      <alignment horizontal="right"/>
    </xf>
    <xf numFmtId="0" fontId="0" fillId="3" borderId="0" xfId="0" applyFill="1"/>
    <xf numFmtId="0" fontId="20" fillId="0" borderId="0" xfId="0" applyFont="1"/>
    <xf numFmtId="0" fontId="3" fillId="0" borderId="1" xfId="0" applyFont="1" applyFill="1" applyBorder="1" applyAlignment="1">
      <alignment horizontal="left"/>
    </xf>
    <xf numFmtId="8" fontId="3" fillId="0" borderId="1" xfId="0" applyNumberFormat="1" applyFont="1" applyFill="1" applyBorder="1" applyAlignment="1">
      <alignment horizontal="left"/>
    </xf>
    <xf numFmtId="0" fontId="18" fillId="0" borderId="1" xfId="0" applyFont="1" applyBorder="1" applyAlignment="1">
      <alignment horizontal="right"/>
    </xf>
    <xf numFmtId="8" fontId="2" fillId="0" borderId="1" xfId="0" applyNumberFormat="1" applyFont="1" applyFill="1" applyBorder="1" applyAlignment="1">
      <alignment horizontal="left"/>
    </xf>
    <xf numFmtId="166" fontId="0" fillId="7" borderId="1" xfId="1" applyNumberFormat="1" applyFont="1" applyFill="1" applyBorder="1"/>
    <xf numFmtId="0" fontId="0" fillId="0" borderId="18" xfId="0" applyBorder="1"/>
    <xf numFmtId="166" fontId="13" fillId="7" borderId="1" xfId="1" applyNumberFormat="1" applyFont="1" applyFill="1" applyBorder="1"/>
    <xf numFmtId="2" fontId="25" fillId="0" borderId="0" xfId="4" applyNumberFormat="1" applyFont="1" applyFill="1" applyBorder="1" applyAlignment="1">
      <alignment horizontal="left"/>
    </xf>
    <xf numFmtId="0" fontId="4" fillId="0" borderId="0" xfId="0" applyFont="1"/>
    <xf numFmtId="0" fontId="13" fillId="0" borderId="19" xfId="0" applyFont="1" applyBorder="1"/>
    <xf numFmtId="0" fontId="13" fillId="0" borderId="20" xfId="0" applyFont="1" applyBorder="1"/>
    <xf numFmtId="0" fontId="13" fillId="0" borderId="21" xfId="0" applyFont="1" applyBorder="1"/>
    <xf numFmtId="0" fontId="3" fillId="0" borderId="19" xfId="0" applyFont="1" applyBorder="1"/>
    <xf numFmtId="0" fontId="3" fillId="0" borderId="20" xfId="0" applyFont="1" applyBorder="1" applyAlignment="1">
      <alignment horizontal="center"/>
    </xf>
    <xf numFmtId="0" fontId="3" fillId="0" borderId="21" xfId="0" applyFont="1" applyBorder="1" applyAlignment="1">
      <alignment horizontal="center"/>
    </xf>
    <xf numFmtId="0" fontId="0" fillId="0" borderId="22" xfId="0" applyBorder="1"/>
    <xf numFmtId="0" fontId="0" fillId="0" borderId="25" xfId="0" applyBorder="1"/>
    <xf numFmtId="0" fontId="23" fillId="0" borderId="14" xfId="32"/>
    <xf numFmtId="0" fontId="22" fillId="5" borderId="25" xfId="31" applyBorder="1"/>
    <xf numFmtId="4" fontId="23" fillId="0" borderId="26" xfId="32" applyNumberFormat="1" applyBorder="1"/>
    <xf numFmtId="4" fontId="23" fillId="0" borderId="27" xfId="32" applyNumberFormat="1" applyBorder="1"/>
    <xf numFmtId="4" fontId="23" fillId="0" borderId="23" xfId="32" applyNumberFormat="1" applyBorder="1"/>
    <xf numFmtId="4" fontId="23" fillId="0" borderId="24" xfId="32" applyNumberFormat="1" applyBorder="1"/>
    <xf numFmtId="4" fontId="0" fillId="0" borderId="16" xfId="0" applyNumberFormat="1" applyBorder="1"/>
    <xf numFmtId="4" fontId="0" fillId="0" borderId="17" xfId="0" applyNumberFormat="1" applyBorder="1"/>
    <xf numFmtId="0" fontId="0" fillId="0" borderId="0" xfId="0" applyBorder="1"/>
    <xf numFmtId="0" fontId="0" fillId="0" borderId="29" xfId="0" applyBorder="1"/>
    <xf numFmtId="0" fontId="0" fillId="0" borderId="30" xfId="0" applyBorder="1"/>
    <xf numFmtId="0" fontId="0" fillId="0" borderId="31" xfId="0" applyBorder="1"/>
    <xf numFmtId="0" fontId="21" fillId="4" borderId="32" xfId="30" applyBorder="1"/>
    <xf numFmtId="0" fontId="21" fillId="4" borderId="25" xfId="30" applyBorder="1"/>
    <xf numFmtId="10" fontId="21" fillId="4" borderId="32" xfId="30" applyNumberFormat="1" applyBorder="1"/>
    <xf numFmtId="9" fontId="21" fillId="4" borderId="33" xfId="30" applyNumberFormat="1" applyBorder="1"/>
    <xf numFmtId="0" fontId="22" fillId="5" borderId="34" xfId="31" applyBorder="1"/>
    <xf numFmtId="0" fontId="13" fillId="0" borderId="22" xfId="0" applyFont="1" applyBorder="1"/>
    <xf numFmtId="0" fontId="27" fillId="4" borderId="25" xfId="30" applyFont="1" applyBorder="1"/>
    <xf numFmtId="0" fontId="22" fillId="5" borderId="25" xfId="31" applyFont="1" applyBorder="1"/>
    <xf numFmtId="0" fontId="13" fillId="0" borderId="29" xfId="0" applyFont="1" applyBorder="1"/>
    <xf numFmtId="0" fontId="22" fillId="0" borderId="31" xfId="32" applyFont="1" applyBorder="1"/>
    <xf numFmtId="0" fontId="28" fillId="0" borderId="22" xfId="0" applyFont="1" applyFill="1" applyBorder="1"/>
    <xf numFmtId="0" fontId="5" fillId="0" borderId="22" xfId="0" applyFont="1" applyFill="1" applyBorder="1" applyAlignment="1">
      <alignment horizontal="left" indent="2"/>
    </xf>
    <xf numFmtId="0" fontId="0" fillId="0" borderId="22" xfId="0" applyBorder="1" applyAlignment="1">
      <alignment horizontal="left" indent="2"/>
    </xf>
    <xf numFmtId="0" fontId="29" fillId="0" borderId="22" xfId="0" applyFont="1" applyBorder="1"/>
    <xf numFmtId="10" fontId="0" fillId="0" borderId="25" xfId="0" applyNumberFormat="1" applyBorder="1"/>
    <xf numFmtId="10" fontId="21" fillId="4" borderId="33" xfId="30" applyNumberFormat="1" applyBorder="1"/>
    <xf numFmtId="0" fontId="0" fillId="0" borderId="35" xfId="0" applyFill="1" applyBorder="1" applyAlignment="1">
      <alignment horizontal="left"/>
    </xf>
    <xf numFmtId="4" fontId="22" fillId="5" borderId="36" xfId="31" applyNumberFormat="1" applyBorder="1"/>
    <xf numFmtId="0" fontId="0" fillId="0" borderId="22" xfId="0" applyFill="1" applyBorder="1" applyAlignment="1">
      <alignment horizontal="left"/>
    </xf>
    <xf numFmtId="4" fontId="22" fillId="5" borderId="33" xfId="31" applyNumberFormat="1" applyBorder="1"/>
    <xf numFmtId="4" fontId="22" fillId="5" borderId="32" xfId="31" applyNumberFormat="1" applyBorder="1"/>
    <xf numFmtId="4" fontId="22" fillId="5" borderId="37" xfId="31" applyNumberFormat="1" applyBorder="1"/>
    <xf numFmtId="0" fontId="0" fillId="0" borderId="28" xfId="0" applyBorder="1"/>
    <xf numFmtId="0" fontId="26" fillId="0" borderId="19" xfId="0" applyFont="1" applyFill="1" applyBorder="1" applyAlignment="1">
      <alignment horizontal="center"/>
    </xf>
    <xf numFmtId="0" fontId="26" fillId="0" borderId="21" xfId="0" applyFont="1" applyFill="1" applyBorder="1" applyAlignment="1">
      <alignment horizontal="center"/>
    </xf>
    <xf numFmtId="166" fontId="23" fillId="7" borderId="14" xfId="32" applyNumberFormat="1" applyFill="1" applyAlignment="1">
      <alignment horizontal="right"/>
    </xf>
    <xf numFmtId="0" fontId="29" fillId="0" borderId="19" xfId="0" applyFont="1" applyBorder="1"/>
    <xf numFmtId="0" fontId="0" fillId="0" borderId="20" xfId="0" applyBorder="1"/>
    <xf numFmtId="0" fontId="0" fillId="0" borderId="21" xfId="0" applyBorder="1"/>
    <xf numFmtId="10" fontId="27" fillId="4" borderId="13" xfId="30" applyNumberFormat="1" applyFont="1" applyBorder="1"/>
    <xf numFmtId="2" fontId="22" fillId="5" borderId="38" xfId="31" applyNumberFormat="1" applyBorder="1"/>
    <xf numFmtId="0" fontId="27" fillId="4" borderId="13" xfId="30" applyFont="1" applyBorder="1"/>
    <xf numFmtId="0" fontId="0" fillId="0" borderId="29" xfId="0" applyFill="1" applyBorder="1"/>
    <xf numFmtId="0" fontId="22" fillId="5" borderId="38" xfId="31" applyBorder="1"/>
    <xf numFmtId="0" fontId="29" fillId="0" borderId="0" xfId="0" applyFont="1"/>
    <xf numFmtId="0" fontId="27" fillId="4" borderId="13" xfId="30" applyFont="1"/>
    <xf numFmtId="0" fontId="21" fillId="4" borderId="13" xfId="30"/>
    <xf numFmtId="9" fontId="27" fillId="4" borderId="13" xfId="30" applyNumberFormat="1" applyFont="1"/>
    <xf numFmtId="1" fontId="27" fillId="4" borderId="13" xfId="30" applyNumberFormat="1" applyFont="1"/>
    <xf numFmtId="0" fontId="0" fillId="0" borderId="0" xfId="0" applyFill="1" applyBorder="1"/>
    <xf numFmtId="0" fontId="22" fillId="5" borderId="13" xfId="31"/>
    <xf numFmtId="10" fontId="21" fillId="4" borderId="13" xfId="30" applyNumberFormat="1"/>
    <xf numFmtId="0" fontId="29" fillId="0" borderId="0" xfId="0" applyFont="1" applyFill="1" applyBorder="1"/>
    <xf numFmtId="166" fontId="23" fillId="0" borderId="14" xfId="32" applyNumberFormat="1" applyFill="1" applyAlignment="1">
      <alignment horizontal="right" vertical="center"/>
    </xf>
    <xf numFmtId="166" fontId="23" fillId="0" borderId="42" xfId="32" applyNumberFormat="1" applyFill="1" applyBorder="1" applyAlignment="1">
      <alignment horizontal="right" vertical="center"/>
    </xf>
    <xf numFmtId="0" fontId="3" fillId="0" borderId="43" xfId="0" applyFont="1" applyFill="1" applyBorder="1" applyAlignment="1">
      <alignment horizontal="right" vertical="center"/>
    </xf>
    <xf numFmtId="166" fontId="22" fillId="5" borderId="37" xfId="31" applyNumberFormat="1" applyBorder="1" applyAlignment="1">
      <alignment horizontal="right" vertical="center"/>
    </xf>
    <xf numFmtId="10" fontId="27" fillId="4" borderId="32" xfId="30" applyNumberFormat="1" applyFont="1" applyBorder="1"/>
    <xf numFmtId="0" fontId="13" fillId="0" borderId="0" xfId="0" applyFont="1" applyFill="1" applyBorder="1"/>
    <xf numFmtId="0" fontId="29" fillId="0" borderId="20" xfId="0" applyFont="1" applyBorder="1"/>
    <xf numFmtId="0" fontId="29" fillId="0" borderId="21" xfId="0" applyFont="1" applyBorder="1"/>
    <xf numFmtId="0" fontId="23" fillId="0" borderId="14" xfId="32" applyBorder="1"/>
    <xf numFmtId="0" fontId="23" fillId="0" borderId="42" xfId="32" applyBorder="1"/>
    <xf numFmtId="2" fontId="23" fillId="0" borderId="14" xfId="32" applyNumberFormat="1" applyBorder="1"/>
    <xf numFmtId="2" fontId="23" fillId="0" borderId="42" xfId="32" applyNumberFormat="1" applyBorder="1"/>
    <xf numFmtId="1" fontId="23" fillId="0" borderId="14" xfId="32" applyNumberFormat="1" applyBorder="1"/>
    <xf numFmtId="1" fontId="23" fillId="0" borderId="42" xfId="32" applyNumberFormat="1" applyBorder="1"/>
    <xf numFmtId="166" fontId="23" fillId="0" borderId="42" xfId="32" applyNumberFormat="1" applyBorder="1"/>
    <xf numFmtId="0" fontId="22" fillId="5" borderId="13" xfId="31" applyBorder="1"/>
    <xf numFmtId="0" fontId="0" fillId="0" borderId="22" xfId="0" applyFill="1" applyBorder="1"/>
    <xf numFmtId="2" fontId="22" fillId="5" borderId="13" xfId="31" applyNumberFormat="1" applyBorder="1"/>
    <xf numFmtId="0" fontId="22" fillId="5" borderId="32" xfId="31" applyBorder="1"/>
    <xf numFmtId="0" fontId="13" fillId="0" borderId="29" xfId="0" applyFont="1" applyFill="1" applyBorder="1"/>
    <xf numFmtId="2" fontId="22" fillId="5" borderId="38" xfId="31" applyNumberFormat="1" applyFont="1" applyBorder="1"/>
    <xf numFmtId="2" fontId="22" fillId="5" borderId="37" xfId="31" applyNumberFormat="1" applyFont="1" applyBorder="1"/>
    <xf numFmtId="4" fontId="22" fillId="5" borderId="13" xfId="31" applyNumberFormat="1"/>
    <xf numFmtId="166" fontId="3" fillId="0" borderId="0" xfId="0" applyNumberFormat="1" applyFont="1" applyFill="1" applyBorder="1" applyAlignment="1">
      <alignment horizontal="center"/>
    </xf>
    <xf numFmtId="4" fontId="24" fillId="6" borderId="15" xfId="33" applyNumberFormat="1"/>
    <xf numFmtId="0" fontId="0" fillId="0" borderId="0" xfId="0"/>
    <xf numFmtId="166" fontId="2" fillId="0" borderId="1" xfId="0" applyNumberFormat="1" applyFont="1" applyFill="1" applyBorder="1" applyAlignment="1">
      <alignment horizontal="right"/>
    </xf>
    <xf numFmtId="166" fontId="13" fillId="0" borderId="1" xfId="1" applyNumberFormat="1" applyFont="1" applyBorder="1" applyAlignment="1">
      <alignment horizontal="right"/>
    </xf>
    <xf numFmtId="165" fontId="0" fillId="0" borderId="0" xfId="1" applyFont="1"/>
    <xf numFmtId="0" fontId="0" fillId="0" borderId="0" xfId="0"/>
    <xf numFmtId="0" fontId="0" fillId="0" borderId="0" xfId="0"/>
    <xf numFmtId="0" fontId="22" fillId="5" borderId="0" xfId="31" applyBorder="1"/>
    <xf numFmtId="9" fontId="0" fillId="0" borderId="0" xfId="5" applyFont="1"/>
    <xf numFmtId="0" fontId="9" fillId="2" borderId="0" xfId="2"/>
    <xf numFmtId="0" fontId="9" fillId="2" borderId="13" xfId="2" applyBorder="1"/>
    <xf numFmtId="9" fontId="9" fillId="2" borderId="13" xfId="2" applyNumberFormat="1" applyBorder="1"/>
    <xf numFmtId="10" fontId="9" fillId="2" borderId="13" xfId="2" applyNumberFormat="1" applyBorder="1"/>
    <xf numFmtId="0" fontId="14" fillId="0" borderId="0" xfId="35"/>
    <xf numFmtId="0" fontId="9" fillId="2" borderId="0" xfId="2" applyBorder="1"/>
    <xf numFmtId="9" fontId="9" fillId="2" borderId="0" xfId="2" applyNumberFormat="1" applyBorder="1"/>
    <xf numFmtId="9" fontId="23" fillId="0" borderId="42" xfId="32" applyNumberFormat="1" applyBorder="1"/>
    <xf numFmtId="0" fontId="9" fillId="2" borderId="41" xfId="2" applyBorder="1" applyAlignment="1">
      <alignment horizontal="right" vertical="center"/>
    </xf>
    <xf numFmtId="0" fontId="9" fillId="2" borderId="19" xfId="2" applyBorder="1"/>
    <xf numFmtId="0" fontId="0" fillId="0" borderId="0" xfId="0"/>
    <xf numFmtId="6" fontId="18" fillId="0" borderId="0" xfId="0" applyNumberFormat="1" applyFont="1"/>
    <xf numFmtId="0" fontId="0" fillId="0" borderId="0" xfId="0"/>
    <xf numFmtId="0" fontId="39" fillId="0" borderId="0" xfId="0" applyFont="1"/>
    <xf numFmtId="0" fontId="35" fillId="0" borderId="0" xfId="34" applyFill="1"/>
    <xf numFmtId="3" fontId="21" fillId="4" borderId="32" xfId="30" applyNumberFormat="1" applyBorder="1"/>
    <xf numFmtId="2" fontId="22" fillId="5" borderId="37" xfId="31" applyNumberFormat="1" applyBorder="1"/>
    <xf numFmtId="0" fontId="9" fillId="0" borderId="0" xfId="2" applyFill="1"/>
    <xf numFmtId="0" fontId="9" fillId="0" borderId="19" xfId="2" applyFill="1" applyBorder="1"/>
    <xf numFmtId="0" fontId="36" fillId="0" borderId="19" xfId="2" applyFont="1" applyFill="1" applyBorder="1"/>
    <xf numFmtId="2" fontId="22" fillId="5" borderId="32" xfId="31" applyNumberFormat="1" applyBorder="1"/>
    <xf numFmtId="166" fontId="8" fillId="0" borderId="1" xfId="0" applyNumberFormat="1" applyFont="1" applyFill="1" applyBorder="1" applyAlignment="1">
      <alignment horizontal="right"/>
    </xf>
    <xf numFmtId="166" fontId="2" fillId="0" borderId="0" xfId="2" applyNumberFormat="1" applyFont="1" applyFill="1" applyBorder="1" applyAlignment="1">
      <alignment horizontal="right"/>
    </xf>
    <xf numFmtId="0" fontId="40" fillId="0" borderId="0" xfId="0" applyFont="1" applyBorder="1" applyAlignment="1">
      <alignment horizontal="left"/>
    </xf>
    <xf numFmtId="0" fontId="6" fillId="0" borderId="1" xfId="0" applyFont="1" applyBorder="1" applyAlignment="1">
      <alignment horizontal="left"/>
    </xf>
    <xf numFmtId="166" fontId="3" fillId="0" borderId="1" xfId="1" applyNumberFormat="1" applyFont="1" applyFill="1" applyBorder="1" applyAlignment="1">
      <alignment horizontal="right"/>
    </xf>
    <xf numFmtId="166" fontId="34" fillId="0" borderId="1" xfId="0" applyNumberFormat="1" applyFont="1" applyFill="1" applyBorder="1" applyAlignment="1">
      <alignment horizontal="right"/>
    </xf>
    <xf numFmtId="0" fontId="18" fillId="0" borderId="1" xfId="0" applyFont="1" applyBorder="1"/>
    <xf numFmtId="0" fontId="2" fillId="0" borderId="1" xfId="2" applyFont="1" applyFill="1" applyBorder="1"/>
    <xf numFmtId="0" fontId="0" fillId="0" borderId="44" xfId="0" applyBorder="1"/>
    <xf numFmtId="0" fontId="18" fillId="0" borderId="44" xfId="34" applyFont="1" applyFill="1" applyBorder="1"/>
    <xf numFmtId="0" fontId="0" fillId="0" borderId="44" xfId="0" applyFill="1" applyBorder="1"/>
    <xf numFmtId="9" fontId="0" fillId="0" borderId="44" xfId="0" applyNumberFormat="1" applyBorder="1"/>
    <xf numFmtId="0" fontId="22" fillId="5" borderId="44" xfId="31" applyBorder="1"/>
    <xf numFmtId="0" fontId="41" fillId="0" borderId="0" xfId="0" applyFont="1" applyAlignment="1">
      <alignment vertical="center"/>
    </xf>
    <xf numFmtId="0" fontId="34" fillId="0" borderId="1" xfId="0" applyFont="1" applyBorder="1" applyAlignment="1">
      <alignment horizontal="left"/>
    </xf>
    <xf numFmtId="0" fontId="3" fillId="0" borderId="1" xfId="2" applyFont="1" applyFill="1" applyBorder="1" applyAlignment="1">
      <alignment horizontal="left"/>
    </xf>
    <xf numFmtId="166" fontId="18" fillId="0" borderId="0" xfId="0" applyNumberFormat="1" applyFont="1" applyAlignment="1">
      <alignment horizontal="right"/>
    </xf>
    <xf numFmtId="0" fontId="18" fillId="0" borderId="1" xfId="0" applyFont="1" applyBorder="1" applyAlignment="1">
      <alignment horizontal="left"/>
    </xf>
    <xf numFmtId="166" fontId="18" fillId="0" borderId="1" xfId="1" applyNumberFormat="1" applyFont="1" applyBorder="1"/>
    <xf numFmtId="0" fontId="3" fillId="0" borderId="1" xfId="0" applyFont="1" applyBorder="1" applyAlignment="1">
      <alignment horizontal="left"/>
    </xf>
    <xf numFmtId="164" fontId="0" fillId="0" borderId="10" xfId="0" applyNumberFormat="1" applyBorder="1"/>
    <xf numFmtId="0" fontId="0" fillId="0" borderId="1" xfId="0" applyBorder="1"/>
    <xf numFmtId="4" fontId="2" fillId="0" borderId="3" xfId="0" applyNumberFormat="1" applyFont="1" applyFill="1" applyBorder="1" applyAlignment="1">
      <alignment horizontal="right"/>
    </xf>
    <xf numFmtId="166" fontId="23" fillId="0" borderId="1" xfId="32" applyNumberFormat="1" applyFill="1" applyBorder="1"/>
    <xf numFmtId="4" fontId="23" fillId="0" borderId="3" xfId="32" applyNumberFormat="1" applyFill="1" applyBorder="1" applyAlignment="1">
      <alignment horizontal="right"/>
    </xf>
    <xf numFmtId="0" fontId="23" fillId="0" borderId="1" xfId="32" applyBorder="1"/>
    <xf numFmtId="0" fontId="22" fillId="5" borderId="1" xfId="31" applyBorder="1"/>
    <xf numFmtId="4" fontId="2" fillId="0" borderId="12" xfId="0" applyNumberFormat="1" applyFont="1" applyFill="1" applyBorder="1"/>
    <xf numFmtId="0" fontId="2" fillId="0" borderId="1" xfId="0" applyFont="1" applyFill="1" applyBorder="1"/>
    <xf numFmtId="166" fontId="21" fillId="4" borderId="1" xfId="30" applyNumberFormat="1" applyBorder="1"/>
    <xf numFmtId="4" fontId="23" fillId="0" borderId="1" xfId="32" applyNumberFormat="1" applyFill="1" applyBorder="1"/>
    <xf numFmtId="4" fontId="23" fillId="0" borderId="1" xfId="32" applyNumberFormat="1" applyBorder="1"/>
    <xf numFmtId="166" fontId="19" fillId="0" borderId="1" xfId="0" applyNumberFormat="1" applyFont="1" applyFill="1" applyBorder="1" applyAlignment="1">
      <alignment horizontal="right"/>
    </xf>
    <xf numFmtId="9" fontId="18" fillId="0" borderId="0" xfId="5" applyFont="1"/>
    <xf numFmtId="169" fontId="2" fillId="0" borderId="1" xfId="0" applyNumberFormat="1" applyFont="1" applyFill="1" applyBorder="1"/>
    <xf numFmtId="0" fontId="42" fillId="0" borderId="0" xfId="0" applyFont="1"/>
    <xf numFmtId="2" fontId="0" fillId="0" borderId="0" xfId="0" applyNumberFormat="1"/>
    <xf numFmtId="2" fontId="9" fillId="2" borderId="0" xfId="2" applyNumberFormat="1"/>
    <xf numFmtId="0" fontId="43" fillId="9" borderId="0" xfId="36"/>
    <xf numFmtId="170" fontId="9" fillId="2" borderId="0" xfId="2" applyNumberFormat="1"/>
    <xf numFmtId="166" fontId="9" fillId="2" borderId="13" xfId="2" applyNumberFormat="1" applyBorder="1" applyAlignment="1">
      <alignment horizontal="right" vertical="center"/>
    </xf>
    <xf numFmtId="170" fontId="22" fillId="5" borderId="32" xfId="31" applyNumberFormat="1" applyBorder="1"/>
    <xf numFmtId="0" fontId="0" fillId="0" borderId="0" xfId="0"/>
    <xf numFmtId="0" fontId="0" fillId="0" borderId="0" xfId="0" applyAlignment="1">
      <alignment wrapText="1"/>
    </xf>
    <xf numFmtId="169" fontId="0" fillId="0" borderId="0" xfId="0" applyNumberFormat="1"/>
    <xf numFmtId="166" fontId="18" fillId="0" borderId="1" xfId="1" applyNumberFormat="1" applyFont="1" applyFill="1" applyBorder="1" applyAlignment="1">
      <alignment horizontal="right"/>
    </xf>
    <xf numFmtId="166" fontId="18" fillId="0" borderId="1" xfId="0" applyNumberFormat="1" applyFont="1" applyFill="1" applyBorder="1" applyAlignment="1">
      <alignment horizontal="right"/>
    </xf>
    <xf numFmtId="0" fontId="18" fillId="0" borderId="0" xfId="0" applyFont="1" applyBorder="1"/>
    <xf numFmtId="166" fontId="19" fillId="0" borderId="0" xfId="0" applyNumberFormat="1" applyFont="1" applyFill="1" applyBorder="1" applyAlignment="1">
      <alignment horizontal="right"/>
    </xf>
    <xf numFmtId="169" fontId="18" fillId="0" borderId="0" xfId="5" applyNumberFormat="1" applyFont="1"/>
    <xf numFmtId="170" fontId="0" fillId="0" borderId="0" xfId="0" applyNumberFormat="1"/>
    <xf numFmtId="0" fontId="2" fillId="0" borderId="3" xfId="0" applyFont="1" applyFill="1" applyBorder="1" applyAlignment="1">
      <alignment horizontal="left"/>
    </xf>
    <xf numFmtId="0" fontId="11" fillId="0" borderId="0" xfId="4" applyFill="1" applyBorder="1" applyAlignment="1">
      <alignment horizontal="left"/>
    </xf>
    <xf numFmtId="0" fontId="0" fillId="0" borderId="0" xfId="0" applyAlignment="1"/>
    <xf numFmtId="0" fontId="0" fillId="0" borderId="0" xfId="0"/>
    <xf numFmtId="0" fontId="0" fillId="0" borderId="0" xfId="0" applyFont="1" applyAlignment="1">
      <alignment horizontal="left"/>
    </xf>
    <xf numFmtId="0" fontId="18" fillId="0" borderId="0" xfId="0" applyFont="1" applyAlignment="1">
      <alignment horizontal="left"/>
    </xf>
    <xf numFmtId="0" fontId="17" fillId="0" borderId="0" xfId="0" applyFont="1" applyFill="1" applyAlignment="1">
      <alignment horizontal="center"/>
    </xf>
    <xf numFmtId="0" fontId="3" fillId="0" borderId="3" xfId="0" applyFont="1" applyFill="1" applyBorder="1" applyAlignment="1">
      <alignment horizontal="left"/>
    </xf>
    <xf numFmtId="0" fontId="16" fillId="0" borderId="0" xfId="3" applyFont="1" applyFill="1" applyBorder="1" applyAlignment="1">
      <alignment horizontal="left"/>
    </xf>
    <xf numFmtId="0" fontId="2" fillId="0" borderId="3" xfId="0" applyFont="1" applyFill="1" applyBorder="1" applyAlignment="1">
      <alignment horizontal="left"/>
    </xf>
    <xf numFmtId="0" fontId="0" fillId="0" borderId="5" xfId="0" applyBorder="1" applyAlignment="1"/>
    <xf numFmtId="0" fontId="0" fillId="0" borderId="4" xfId="0" applyBorder="1" applyAlignment="1"/>
    <xf numFmtId="0" fontId="11" fillId="0" borderId="0" xfId="4" applyFill="1" applyBorder="1" applyAlignment="1">
      <alignment horizontal="left"/>
    </xf>
    <xf numFmtId="0" fontId="0" fillId="0" borderId="0" xfId="0" applyAlignment="1"/>
    <xf numFmtId="0" fontId="13" fillId="0" borderId="0" xfId="0" applyFont="1" applyAlignment="1">
      <alignment horizontal="center"/>
    </xf>
    <xf numFmtId="0" fontId="20" fillId="0" borderId="19" xfId="0" applyFont="1" applyBorder="1" applyAlignment="1">
      <alignment horizontal="center"/>
    </xf>
    <xf numFmtId="0" fontId="20" fillId="0" borderId="21" xfId="0" applyFont="1" applyBorder="1" applyAlignment="1">
      <alignment horizontal="center"/>
    </xf>
    <xf numFmtId="0" fontId="13" fillId="0" borderId="19" xfId="0" applyFont="1" applyBorder="1" applyAlignment="1">
      <alignment horizontal="center"/>
    </xf>
    <xf numFmtId="0" fontId="13" fillId="0" borderId="21" xfId="0" applyFont="1" applyBorder="1" applyAlignment="1">
      <alignment horizontal="center"/>
    </xf>
    <xf numFmtId="0" fontId="3" fillId="0" borderId="39" xfId="0" applyFont="1" applyFill="1" applyBorder="1" applyAlignment="1">
      <alignment horizontal="center" vertical="center"/>
    </xf>
    <xf numFmtId="0" fontId="3" fillId="0" borderId="40" xfId="0" applyFont="1" applyFill="1" applyBorder="1" applyAlignment="1">
      <alignment horizontal="center" vertical="center"/>
    </xf>
    <xf numFmtId="0" fontId="6" fillId="0" borderId="3" xfId="0" applyFont="1" applyBorder="1" applyAlignment="1">
      <alignment horizontal="left"/>
    </xf>
    <xf numFmtId="0" fontId="6" fillId="0" borderId="4" xfId="0" applyFont="1" applyBorder="1" applyAlignment="1">
      <alignment horizontal="left"/>
    </xf>
    <xf numFmtId="0" fontId="13" fillId="0" borderId="3" xfId="0" applyFont="1" applyBorder="1" applyAlignment="1">
      <alignment horizontal="center"/>
    </xf>
    <xf numFmtId="0" fontId="13" fillId="0" borderId="4" xfId="0" applyFont="1" applyBorder="1" applyAlignment="1">
      <alignment horizontal="center"/>
    </xf>
    <xf numFmtId="0" fontId="0" fillId="0" borderId="0" xfId="0" applyFont="1" applyAlignment="1">
      <alignment horizontal="left"/>
    </xf>
    <xf numFmtId="0" fontId="18" fillId="0" borderId="0" xfId="0" applyFont="1" applyAlignment="1">
      <alignment horizontal="left"/>
    </xf>
    <xf numFmtId="0" fontId="17" fillId="0" borderId="0" xfId="0" applyFont="1" applyFill="1" applyAlignment="1">
      <alignment horizontal="center"/>
    </xf>
    <xf numFmtId="0" fontId="3" fillId="0" borderId="3" xfId="0" applyFont="1" applyFill="1" applyBorder="1" applyAlignment="1">
      <alignment horizontal="left"/>
    </xf>
    <xf numFmtId="2" fontId="3" fillId="0" borderId="1" xfId="0" applyNumberFormat="1" applyFont="1" applyFill="1" applyBorder="1" applyAlignment="1">
      <alignment horizontal="left"/>
    </xf>
    <xf numFmtId="2" fontId="2" fillId="0" borderId="1" xfId="0" applyNumberFormat="1" applyFont="1" applyFill="1" applyBorder="1" applyAlignment="1">
      <alignment horizontal="left"/>
    </xf>
    <xf numFmtId="166" fontId="2" fillId="0" borderId="1" xfId="0" applyNumberFormat="1" applyFont="1" applyFill="1" applyBorder="1" applyAlignment="1">
      <alignment horizontal="right" vertical="center"/>
    </xf>
    <xf numFmtId="2" fontId="2" fillId="0" borderId="1" xfId="0" applyNumberFormat="1" applyFont="1" applyFill="1" applyBorder="1" applyAlignment="1">
      <alignment horizontal="right"/>
    </xf>
    <xf numFmtId="0" fontId="3" fillId="0" borderId="0" xfId="0" applyFont="1" applyFill="1" applyBorder="1" applyAlignment="1">
      <alignment horizontal="left"/>
    </xf>
    <xf numFmtId="166" fontId="3" fillId="0" borderId="0" xfId="0" applyNumberFormat="1" applyFont="1" applyFill="1" applyBorder="1" applyAlignment="1">
      <alignment horizontal="right"/>
    </xf>
    <xf numFmtId="0" fontId="2" fillId="0" borderId="0" xfId="0" applyFont="1" applyFill="1" applyAlignment="1">
      <alignment horizontal="left"/>
    </xf>
    <xf numFmtId="0" fontId="2" fillId="0" borderId="0" xfId="0" applyFont="1" applyFill="1" applyAlignment="1">
      <alignment horizontal="right"/>
    </xf>
    <xf numFmtId="0" fontId="3" fillId="0" borderId="4" xfId="0" applyFont="1" applyFill="1" applyBorder="1" applyAlignment="1">
      <alignment horizontal="left"/>
    </xf>
    <xf numFmtId="0" fontId="3" fillId="0" borderId="0" xfId="0" applyFont="1" applyFill="1" applyAlignment="1">
      <alignment horizontal="left"/>
    </xf>
    <xf numFmtId="166" fontId="3" fillId="0" borderId="1" xfId="0" applyNumberFormat="1" applyFont="1" applyFill="1" applyBorder="1" applyAlignment="1">
      <alignment horizontal="right" vertical="center"/>
    </xf>
    <xf numFmtId="0" fontId="3" fillId="0" borderId="3" xfId="2" applyFont="1" applyFill="1" applyBorder="1" applyAlignment="1">
      <alignment horizontal="left"/>
    </xf>
    <xf numFmtId="0" fontId="3" fillId="0" borderId="4" xfId="2" applyFont="1" applyFill="1" applyBorder="1" applyAlignment="1">
      <alignment horizontal="right"/>
    </xf>
    <xf numFmtId="166" fontId="6" fillId="0" borderId="1" xfId="0" applyNumberFormat="1" applyFont="1" applyFill="1" applyBorder="1" applyAlignment="1">
      <alignment horizontal="right"/>
    </xf>
    <xf numFmtId="0" fontId="6" fillId="0" borderId="0" xfId="0" applyFont="1" applyBorder="1" applyAlignment="1">
      <alignment horizontal="left"/>
    </xf>
    <xf numFmtId="0" fontId="6" fillId="0" borderId="1" xfId="0" applyFont="1" applyBorder="1" applyAlignment="1">
      <alignment horizontal="right"/>
    </xf>
    <xf numFmtId="0" fontId="6" fillId="0" borderId="0" xfId="0" applyFont="1" applyBorder="1" applyAlignment="1">
      <alignment horizontal="right"/>
    </xf>
  </cellXfs>
  <cellStyles count="37">
    <cellStyle name="Accent6" xfId="34" builtinId="49"/>
    <cellStyle name="Bad" xfId="36" builtinId="27"/>
    <cellStyle name="Calculation" xfId="31" builtinId="22"/>
    <cellStyle name="Check Cell" xfId="33" builtinId="23"/>
    <cellStyle name="Currency" xfId="1" builtinId="4"/>
    <cellStyle name="Currency 2" xfId="29" xr:uid="{00000000-0005-0000-0000-000003000000}"/>
    <cellStyle name="Followed Hyperlink" xfId="18" builtinId="9" hidden="1"/>
    <cellStyle name="Followed Hyperlink" xfId="12"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8" builtinId="9" hidden="1"/>
    <cellStyle name="Followed Hyperlink" xfId="14" builtinId="9" hidden="1"/>
    <cellStyle name="Followed Hyperlink" xfId="16" builtinId="9" hidden="1"/>
    <cellStyle name="Followed Hyperlink" xfId="20" builtinId="9" hidden="1"/>
    <cellStyle name="Followed Hyperlink" xfId="10" builtinId="9" hidden="1"/>
    <cellStyle name="Good" xfId="2" builtinId="26"/>
    <cellStyle name="Heading 1" xfId="3" builtinId="16"/>
    <cellStyle name="Heading 2" xfId="4" builtinId="17"/>
    <cellStyle name="Hyperlink" xfId="19" builtinId="8" hidden="1"/>
    <cellStyle name="Hyperlink" xfId="23" builtinId="8" hidden="1"/>
    <cellStyle name="Hyperlink" xfId="25" builtinId="8" hidden="1"/>
    <cellStyle name="Hyperlink" xfId="7" builtinId="8" hidden="1"/>
    <cellStyle name="Hyperlink" xfId="27" builtinId="8" hidden="1"/>
    <cellStyle name="Hyperlink" xfId="13" builtinId="8" hidden="1"/>
    <cellStyle name="Hyperlink" xfId="15" builtinId="8" hidden="1"/>
    <cellStyle name="Hyperlink" xfId="17" builtinId="8" hidden="1"/>
    <cellStyle name="Hyperlink" xfId="9" builtinId="8" hidden="1"/>
    <cellStyle name="Hyperlink" xfId="11" builtinId="8" hidden="1"/>
    <cellStyle name="Hyperlink" xfId="21" builtinId="8" hidden="1"/>
    <cellStyle name="Hyperlink" xfId="35" builtinId="8"/>
    <cellStyle name="Input" xfId="30" builtinId="20"/>
    <cellStyle name="Linked Cell" xfId="32" builtinId="24"/>
    <cellStyle name="Normal" xfId="0" builtinId="0"/>
    <cellStyle name="Percent" xfId="5" builtinId="5"/>
    <cellStyle name="Warning Text" xfId="6" builtinId="11"/>
  </cellStyles>
  <dxfs count="22">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thin">
          <color auto="1"/>
        </right>
        <top style="thin">
          <color auto="1"/>
        </top>
        <bottom style="thin">
          <color auto="1"/>
        </bottom>
        <vertical/>
        <horizontal/>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font>
        <b/>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0" relative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scheme val="none"/>
      </font>
      <numFmt numFmtId="4" formatCode="#,##0.00"/>
      <fill>
        <patternFill patternType="none">
          <fgColor indexed="64"/>
          <bgColor indexed="65"/>
        </patternFill>
      </fill>
      <alignment horizontal="right" vertical="bottom"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numFmt numFmtId="167" formatCode="0.0%"/>
      <fill>
        <patternFill patternType="none">
          <fgColor indexed="64"/>
          <bgColor indexed="65"/>
        </patternFill>
      </fill>
      <alignment horizontal="center" vertical="bottom" textRotation="0" wrapText="0" relativeIndent="0" justifyLastLine="0" shrinkToFit="0" readingOrder="0"/>
      <border diagonalUp="0" diagonalDown="0" outline="0">
        <left style="thin">
          <color auto="1"/>
        </left>
        <right/>
        <top style="thin">
          <color auto="1"/>
        </top>
        <bottom style="thin">
          <color auto="1"/>
        </bottom>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alignment horizontal="right"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66" formatCode="&quot;$&quot;#,##0.00"/>
      <fill>
        <patternFill patternType="none">
          <fgColor indexed="64"/>
          <bgColor indexed="65"/>
        </patternFill>
      </fill>
      <alignment horizontal="right"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thin">
          <color auto="1"/>
        </right>
        <top style="thin">
          <color auto="1"/>
        </top>
        <bottom style="thin">
          <color auto="1"/>
        </bottom>
        <vertical/>
        <horizontal/>
      </border>
    </dxf>
    <dxf>
      <border outline="0">
        <bottom style="thin">
          <color auto="1"/>
        </bottom>
      </border>
    </dxf>
    <dxf>
      <border outline="0">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5:D16" totalsRowShown="0" headerRowBorderDxfId="20" tableBorderDxfId="21">
  <autoFilter ref="A5:D16" xr:uid="{00000000-0009-0000-0100-000003000000}"/>
  <tableColumns count="4">
    <tableColumn id="1" xr3:uid="{00000000-0010-0000-0100-000001000000}" name="Item" dataDxfId="19" dataCellStyle="Good"/>
    <tableColumn id="2" xr3:uid="{00000000-0010-0000-0100-000002000000}" name="Monthly" dataDxfId="18" dataCellStyle="Good"/>
    <tableColumn id="3" xr3:uid="{00000000-0010-0000-0100-000003000000}" name="Annually" dataDxfId="17" dataCellStyle="Good"/>
    <tableColumn id="4" xr3:uid="{00000000-0010-0000-0100-000004000000}" name="% of Total" dataDxfId="16" dataCellStyle="Good"/>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4" displayName="Table4" ref="A19:D24" totalsRowShown="0" headerRowDxfId="15" headerRowBorderDxfId="13" tableBorderDxfId="14" totalsRowBorderDxfId="12">
  <autoFilter ref="A19:D24" xr:uid="{00000000-0009-0000-0100-000004000000}"/>
  <tableColumns count="4">
    <tableColumn id="1" xr3:uid="{00000000-0010-0000-0200-000001000000}" name="Income" dataDxfId="11" dataCellStyle="Good"/>
    <tableColumn id="2" xr3:uid="{00000000-0010-0000-0200-000002000000}" name="Monthly" dataDxfId="10" dataCellStyle="Good"/>
    <tableColumn id="3" xr3:uid="{00000000-0010-0000-0200-000003000000}" name="Annually" dataDxfId="9" dataCellStyle="Good"/>
    <tableColumn id="4" xr3:uid="{00000000-0010-0000-0200-000004000000}" name="No CBB at FNI" dataDxfId="8">
      <calculatedColumnFormula>'Gov Transfers '!I39</calculatedColumnFormula>
    </tableColumn>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5" displayName="Table5" ref="A33:D45" totalsRowShown="0" headerRowDxfId="7" headerRowBorderDxfId="5" tableBorderDxfId="6" totalsRowBorderDxfId="4">
  <autoFilter ref="A33:D45" xr:uid="{00000000-0009-0000-0100-000005000000}"/>
  <tableColumns count="4">
    <tableColumn id="1" xr3:uid="{00000000-0010-0000-0300-000001000000}" name="Column1" dataDxfId="3"/>
    <tableColumn id="2" xr3:uid="{00000000-0010-0000-0300-000002000000}" name="Parent 1" dataDxfId="2"/>
    <tableColumn id="3" xr3:uid="{00000000-0010-0000-0300-000003000000}" name="Parent 2" dataDxfId="1"/>
    <tableColumn id="4" xr3:uid="{00000000-0010-0000-0300-000004000000}" name="Total" dataDxfId="0">
      <calculatedColumnFormula>B34+C34</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www.canada.ca/en/revenue-agency/services/child-family-benefits/canada-child-benefit-overview/canada-child-benefit-calculation-sheets.html" TargetMode="External"/></Relationships>
</file>

<file path=xl/worksheets/_rels/sheet3.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https://www.canada.ca/content/dam/cra-arc/formspubs/pbg/5003-d/5003-d-19e.pdf" TargetMode="External"/><Relationship Id="rId7" Type="http://schemas.openxmlformats.org/officeDocument/2006/relationships/printerSettings" Target="../printerSettings/printerSettings2.bin"/><Relationship Id="rId2" Type="http://schemas.openxmlformats.org/officeDocument/2006/relationships/hyperlink" Target="https://www.canada.ca/en/revenue-agency/services/forms-publications/tax-packages-years/general-income-tax-benefit-package/nova-scotia/5003-pc/information-residents-nova-scotia.html" TargetMode="External"/><Relationship Id="rId1" Type="http://schemas.openxmlformats.org/officeDocument/2006/relationships/hyperlink" Target="https://www.canada.ca/en/revenue-agency/services/tax/individuals/frequently-asked-questions-individuals/canadian-income-tax-rates-individuals-current-previous-years.html" TargetMode="External"/><Relationship Id="rId6" Type="http://schemas.openxmlformats.org/officeDocument/2006/relationships/hyperlink" Target="https://www.canada.ca/en/revenue-agency/services/tax/individuals/topics/about-your-tax-return/tax-return/completing-a-tax-return/deductions-credits-expenses/line-45350-canada-training-credit.html" TargetMode="External"/><Relationship Id="rId5" Type="http://schemas.openxmlformats.org/officeDocument/2006/relationships/hyperlink" Target="https://www.canada.ca/en/revenue-agency/services/child-family-benefits/canada-workers-benefit/calculation-families-canada.html" TargetMode="External"/><Relationship Id="rId4" Type="http://schemas.openxmlformats.org/officeDocument/2006/relationships/hyperlink" Target="https://www.canada.ca/content/dam/cra-arc/formspubs/pbg/5003-s11/5003-s11-19e.pdf" TargetMode="Externa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1"/>
  <sheetViews>
    <sheetView topLeftCell="A29" zoomScale="162" zoomScaleNormal="162" zoomScalePageLayoutView="87" workbookViewId="0">
      <selection activeCell="D6" sqref="D6:D16"/>
    </sheetView>
  </sheetViews>
  <sheetFormatPr defaultColWidth="8.85546875" defaultRowHeight="15"/>
  <cols>
    <col min="1" max="1" width="23.85546875" customWidth="1"/>
    <col min="2" max="2" width="13.42578125" customWidth="1"/>
    <col min="3" max="3" width="11.85546875" customWidth="1"/>
    <col min="4" max="4" width="13" customWidth="1"/>
    <col min="5" max="5" width="28.28515625" customWidth="1"/>
    <col min="6" max="6" width="20.42578125" customWidth="1"/>
    <col min="7" max="7" width="20.28515625" customWidth="1"/>
    <col min="8" max="8" width="13.42578125" customWidth="1"/>
    <col min="9" max="9" width="22.140625" bestFit="1" customWidth="1"/>
    <col min="10" max="10" width="13.140625" customWidth="1"/>
    <col min="11" max="11" width="13.28515625" customWidth="1"/>
    <col min="12" max="12" width="19.140625" customWidth="1"/>
    <col min="13" max="13" width="11" customWidth="1"/>
    <col min="14" max="14" width="11.140625" customWidth="1"/>
    <col min="15" max="15" width="14.28515625" customWidth="1"/>
    <col min="16" max="16" width="10.28515625" customWidth="1"/>
    <col min="17" max="17" width="13.140625" customWidth="1"/>
    <col min="18" max="18" width="12" bestFit="1" customWidth="1"/>
    <col min="19" max="19" width="10.28515625" customWidth="1"/>
  </cols>
  <sheetData>
    <row r="1" spans="1:16" ht="21">
      <c r="A1" s="266" t="s">
        <v>0</v>
      </c>
      <c r="B1" s="266"/>
      <c r="C1" s="266"/>
      <c r="D1" s="266"/>
      <c r="E1" s="266"/>
      <c r="F1" s="73"/>
      <c r="G1" s="73"/>
      <c r="H1" s="37"/>
      <c r="I1" s="37"/>
      <c r="J1" s="1"/>
      <c r="K1" s="1"/>
      <c r="L1" s="1"/>
      <c r="M1" s="1"/>
      <c r="N1" s="1"/>
      <c r="O1" s="1"/>
      <c r="P1" s="261"/>
    </row>
    <row r="2" spans="1:16" ht="17.100000000000001">
      <c r="A2" s="270"/>
      <c r="B2" s="270"/>
      <c r="C2" s="271"/>
      <c r="D2" s="271"/>
      <c r="E2" s="1"/>
      <c r="F2" s="261"/>
      <c r="G2" s="261"/>
      <c r="H2" s="1"/>
      <c r="I2" s="1"/>
      <c r="J2" s="1"/>
      <c r="K2" s="1"/>
      <c r="L2" s="1"/>
      <c r="M2" s="1"/>
      <c r="N2" s="1"/>
      <c r="O2" s="1"/>
      <c r="P2" s="261"/>
    </row>
    <row r="3" spans="1:16" ht="18.95">
      <c r="A3" s="80"/>
      <c r="B3" s="2"/>
      <c r="C3" s="3"/>
      <c r="D3" s="1"/>
      <c r="E3" s="4"/>
      <c r="F3" s="261"/>
      <c r="G3" s="261"/>
      <c r="H3" s="4"/>
      <c r="I3" s="5"/>
      <c r="J3" s="1"/>
      <c r="K3" s="6"/>
      <c r="L3" s="3"/>
      <c r="M3" s="3"/>
      <c r="N3" s="3"/>
      <c r="O3" s="3"/>
      <c r="P3" s="261"/>
    </row>
    <row r="4" spans="1:16" ht="17.100000000000001">
      <c r="A4" s="24" t="s">
        <v>1</v>
      </c>
      <c r="B4" s="24"/>
      <c r="C4" s="24"/>
      <c r="D4" s="24"/>
      <c r="E4" s="4"/>
      <c r="F4" s="261"/>
      <c r="G4" s="261"/>
      <c r="H4" s="4"/>
      <c r="I4" s="261"/>
      <c r="J4" s="261"/>
      <c r="K4" s="261"/>
      <c r="L4" s="261"/>
      <c r="M4" s="261"/>
      <c r="N4" s="261"/>
      <c r="O4" s="3"/>
      <c r="P4" s="261"/>
    </row>
    <row r="5" spans="1:16">
      <c r="A5" s="47" t="s">
        <v>2</v>
      </c>
      <c r="B5" s="48" t="s">
        <v>3</v>
      </c>
      <c r="C5" s="49" t="s">
        <v>4</v>
      </c>
      <c r="D5" s="50" t="s">
        <v>5</v>
      </c>
      <c r="E5" s="7"/>
      <c r="F5" s="261"/>
      <c r="G5" s="261"/>
      <c r="H5" s="261"/>
      <c r="I5" s="261"/>
      <c r="J5" s="261"/>
      <c r="K5" s="261"/>
      <c r="L5" s="261"/>
      <c r="M5" s="261"/>
      <c r="N5" s="261"/>
      <c r="O5" s="261"/>
      <c r="P5" s="261"/>
    </row>
    <row r="6" spans="1:16">
      <c r="A6" s="44" t="s">
        <v>6</v>
      </c>
      <c r="B6" s="67">
        <f>'Family Expenses'!B52/12</f>
        <v>1073.3106844589686</v>
      </c>
      <c r="C6" s="67">
        <f>Table3[[#This Row],[Monthly]]*12</f>
        <v>12879.728213507624</v>
      </c>
      <c r="D6" s="46">
        <f>C6/C16</f>
        <v>0.17202330830439705</v>
      </c>
      <c r="E6" s="8"/>
      <c r="F6" s="185"/>
      <c r="G6" s="261"/>
      <c r="H6" s="261"/>
      <c r="I6" s="261"/>
      <c r="J6" s="261"/>
      <c r="K6" s="261"/>
      <c r="L6" s="261"/>
      <c r="M6" s="261"/>
      <c r="N6" s="261"/>
      <c r="O6" s="261"/>
      <c r="P6" s="34"/>
    </row>
    <row r="7" spans="1:16">
      <c r="A7" s="45" t="s">
        <v>7</v>
      </c>
      <c r="B7" s="67">
        <f>'Family Expenses'!B20</f>
        <v>179.48034486582392</v>
      </c>
      <c r="C7" s="70">
        <f>Table3[[#This Row],[Monthly]]*12</f>
        <v>2153.7641383898872</v>
      </c>
      <c r="D7" s="46">
        <f>C7/C16</f>
        <v>2.8765951132776076E-2</v>
      </c>
      <c r="E7" s="8"/>
      <c r="F7" s="261"/>
      <c r="G7" s="261"/>
      <c r="H7" s="181"/>
      <c r="I7" s="181"/>
      <c r="J7" s="261"/>
      <c r="K7" s="261"/>
      <c r="L7" s="261"/>
      <c r="M7" s="261"/>
      <c r="N7" s="261"/>
      <c r="O7" s="261"/>
      <c r="P7" s="34"/>
    </row>
    <row r="8" spans="1:16">
      <c r="A8" s="44" t="s">
        <v>8</v>
      </c>
      <c r="B8" s="67">
        <f>'Family Expenses'!B16</f>
        <v>1748.4198083333333</v>
      </c>
      <c r="C8" s="67">
        <f>B8*12</f>
        <v>20981.037700000001</v>
      </c>
      <c r="D8" s="46">
        <f>C8/C16</f>
        <v>0.28022544086202827</v>
      </c>
      <c r="E8" s="11"/>
      <c r="F8" s="261"/>
      <c r="G8" s="261"/>
      <c r="H8" s="181"/>
      <c r="I8" s="181"/>
      <c r="J8" s="261"/>
      <c r="K8" s="261"/>
      <c r="L8" s="261"/>
      <c r="M8" s="261"/>
      <c r="N8" s="261"/>
      <c r="O8" s="261"/>
      <c r="P8" s="261"/>
    </row>
    <row r="9" spans="1:16">
      <c r="A9" s="44" t="s">
        <v>9</v>
      </c>
      <c r="B9" s="67">
        <f>C9/12</f>
        <v>512.16300675675677</v>
      </c>
      <c r="C9" s="67">
        <f>'Family Expenses'!B32</f>
        <v>6145.9560810810808</v>
      </c>
      <c r="D9" s="46">
        <f>C9/C16</f>
        <v>8.2086180720203822E-2</v>
      </c>
      <c r="E9" s="13"/>
      <c r="F9" s="261"/>
      <c r="G9" s="261"/>
      <c r="H9" s="181"/>
      <c r="I9" s="181"/>
      <c r="J9" s="261"/>
      <c r="K9" s="261"/>
      <c r="L9" s="261"/>
      <c r="M9" s="261"/>
      <c r="N9" s="261"/>
      <c r="O9" s="261"/>
      <c r="P9" s="261"/>
    </row>
    <row r="10" spans="1:16">
      <c r="A10" s="44" t="s">
        <v>10</v>
      </c>
      <c r="B10" s="67">
        <f>C10/12</f>
        <v>1132.75</v>
      </c>
      <c r="C10" s="67">
        <f>'Family Expenses'!B48</f>
        <v>13593</v>
      </c>
      <c r="D10" s="46">
        <f>C10/C16</f>
        <v>0.18154985811962723</v>
      </c>
      <c r="E10" s="14"/>
      <c r="F10" s="261"/>
      <c r="G10" s="261"/>
      <c r="H10" s="181"/>
      <c r="I10" s="181"/>
      <c r="J10" s="261"/>
      <c r="K10" s="261"/>
      <c r="L10" s="261"/>
      <c r="M10" s="261"/>
      <c r="N10" s="261"/>
      <c r="O10" s="261"/>
      <c r="P10" s="261"/>
    </row>
    <row r="11" spans="1:16">
      <c r="A11" s="44" t="s">
        <v>11</v>
      </c>
      <c r="B11" s="67">
        <f>'Family Expenses'!B56</f>
        <v>179.68</v>
      </c>
      <c r="C11" s="67">
        <f>B11*12</f>
        <v>2156.16</v>
      </c>
      <c r="D11" s="46">
        <f>C11/C16</f>
        <v>2.8797950568911605E-2</v>
      </c>
      <c r="E11" s="14"/>
      <c r="F11" s="261"/>
      <c r="G11" s="261"/>
      <c r="H11" s="181"/>
      <c r="I11" s="181"/>
      <c r="J11" s="261"/>
      <c r="K11" s="261"/>
      <c r="L11" s="261"/>
      <c r="M11" s="261"/>
      <c r="N11" s="261"/>
      <c r="O11" s="261"/>
      <c r="P11" s="261"/>
    </row>
    <row r="12" spans="1:16">
      <c r="A12" s="44" t="s">
        <v>12</v>
      </c>
      <c r="B12" s="67">
        <f>C12/12</f>
        <v>257.25</v>
      </c>
      <c r="C12" s="67">
        <f>(C34*C35)*2+(B34*B35)*2</f>
        <v>3087</v>
      </c>
      <c r="D12" s="46">
        <f>C12/C16</f>
        <v>4.1230369455991268E-2</v>
      </c>
      <c r="E12" s="61"/>
      <c r="F12" s="261"/>
      <c r="G12" s="261"/>
      <c r="H12" s="181"/>
      <c r="I12" s="181"/>
      <c r="J12" s="261"/>
      <c r="K12" s="261"/>
      <c r="L12" s="261"/>
      <c r="M12" s="261"/>
      <c r="N12" s="261"/>
      <c r="O12" s="261"/>
      <c r="P12" s="261"/>
    </row>
    <row r="13" spans="1:16">
      <c r="A13" s="44" t="s">
        <v>13</v>
      </c>
      <c r="B13" s="67">
        <f>C13/12</f>
        <v>122.78166666666668</v>
      </c>
      <c r="C13" s="67">
        <f>'Family Expenses'!B39</f>
        <v>1473.38</v>
      </c>
      <c r="D13" s="46">
        <f>C13/C16</f>
        <v>1.9678652979937938E-2</v>
      </c>
      <c r="E13" s="7"/>
      <c r="F13" s="261"/>
      <c r="G13" s="261"/>
      <c r="H13" s="181"/>
      <c r="I13" s="181"/>
      <c r="J13" s="261"/>
      <c r="K13" s="261"/>
      <c r="L13" s="261"/>
      <c r="M13" s="261"/>
      <c r="N13" s="261"/>
      <c r="O13" s="261"/>
      <c r="P13" s="261"/>
    </row>
    <row r="14" spans="1:16">
      <c r="A14" s="44" t="s">
        <v>14</v>
      </c>
      <c r="B14" s="67">
        <f>'Family Expenses'!B23</f>
        <v>620.09842424242413</v>
      </c>
      <c r="C14" s="67">
        <f>Table3[[#This Row],[Monthly]]*12</f>
        <v>7441.1810909090891</v>
      </c>
      <c r="D14" s="46">
        <f>C14/C16</f>
        <v>9.9385372713676021E-2</v>
      </c>
      <c r="E14" s="8"/>
      <c r="F14" s="261"/>
      <c r="G14" s="261"/>
      <c r="H14" s="181"/>
      <c r="I14" s="181"/>
      <c r="J14" s="261"/>
      <c r="K14" s="261"/>
      <c r="L14" s="261"/>
      <c r="M14" s="261"/>
      <c r="N14" s="261"/>
      <c r="O14" s="261"/>
      <c r="P14" s="261"/>
    </row>
    <row r="15" spans="1:16">
      <c r="A15" s="44" t="s">
        <v>15</v>
      </c>
      <c r="B15" s="67">
        <f>C15/12</f>
        <v>413.39894949494948</v>
      </c>
      <c r="C15" s="68">
        <f>'Family Expenses'!B25</f>
        <v>4960.787393939394</v>
      </c>
      <c r="D15" s="46">
        <f>C15/C16</f>
        <v>6.6256915142450704E-2</v>
      </c>
      <c r="E15" s="8"/>
      <c r="F15" s="261"/>
      <c r="G15" s="261"/>
      <c r="H15" s="181"/>
      <c r="I15" s="181"/>
      <c r="J15" s="261"/>
      <c r="K15" s="261"/>
      <c r="L15" s="261"/>
      <c r="M15" s="261"/>
      <c r="N15" s="261"/>
      <c r="O15" s="261"/>
      <c r="P15" s="261"/>
    </row>
    <row r="16" spans="1:16">
      <c r="A16" s="51" t="s">
        <v>16</v>
      </c>
      <c r="B16" s="69">
        <f>SUM(B6:B15)</f>
        <v>6239.3328848189221</v>
      </c>
      <c r="C16" s="69">
        <f>SUM(C6:C15)</f>
        <v>74871.994617827077</v>
      </c>
      <c r="D16" s="53">
        <f>C16/C16</f>
        <v>1</v>
      </c>
      <c r="E16" s="8"/>
      <c r="F16" s="261"/>
      <c r="G16" s="261"/>
      <c r="H16" s="181"/>
      <c r="I16" s="181"/>
      <c r="J16" s="261"/>
      <c r="K16" s="261"/>
      <c r="L16" s="261"/>
      <c r="M16" s="261"/>
      <c r="N16" s="261"/>
      <c r="O16" s="261"/>
      <c r="P16" s="261"/>
    </row>
    <row r="17" spans="1:15">
      <c r="A17" s="4"/>
      <c r="B17" s="16"/>
      <c r="C17" s="16"/>
      <c r="D17" s="16"/>
      <c r="E17" s="8"/>
      <c r="F17" s="261"/>
      <c r="G17" s="261"/>
      <c r="H17" s="181"/>
      <c r="I17" s="181"/>
      <c r="J17" s="261"/>
      <c r="K17" s="261"/>
      <c r="L17" s="261"/>
      <c r="M17" s="261"/>
      <c r="N17" s="261"/>
      <c r="O17" s="261"/>
    </row>
    <row r="18" spans="1:15" ht="17.100000000000001">
      <c r="A18" s="24" t="s">
        <v>17</v>
      </c>
      <c r="B18" s="24"/>
      <c r="C18" s="24"/>
      <c r="D18" s="24"/>
      <c r="E18" s="261"/>
      <c r="F18" s="261"/>
      <c r="G18" s="261"/>
      <c r="H18" s="261"/>
      <c r="I18" s="261"/>
      <c r="J18" s="261"/>
      <c r="K18" s="261"/>
      <c r="L18" s="261"/>
      <c r="M18" s="261"/>
      <c r="N18" s="261"/>
      <c r="O18" s="261"/>
    </row>
    <row r="19" spans="1:15">
      <c r="A19" s="54" t="s">
        <v>18</v>
      </c>
      <c r="B19" s="48" t="s">
        <v>3</v>
      </c>
      <c r="C19" s="49" t="s">
        <v>4</v>
      </c>
      <c r="D19" s="227" t="s">
        <v>19</v>
      </c>
      <c r="E19" s="261"/>
      <c r="F19" s="15"/>
      <c r="G19" s="261"/>
      <c r="H19" s="261"/>
      <c r="I19" s="261"/>
      <c r="J19" s="261"/>
      <c r="K19" s="261"/>
      <c r="L19" s="261"/>
      <c r="M19" s="261"/>
      <c r="N19" s="261"/>
      <c r="O19" s="261"/>
    </row>
    <row r="20" spans="1:15">
      <c r="A20" s="44" t="s">
        <v>20</v>
      </c>
      <c r="B20" s="228">
        <v>0</v>
      </c>
      <c r="C20" s="228">
        <f>B20*12</f>
        <v>0</v>
      </c>
      <c r="D20" s="229"/>
      <c r="E20" s="261"/>
      <c r="F20" s="15"/>
      <c r="G20" s="261"/>
      <c r="H20" s="261"/>
      <c r="I20" s="261"/>
      <c r="J20" s="261"/>
      <c r="K20" s="261"/>
      <c r="L20" s="261"/>
      <c r="M20" s="261"/>
      <c r="N20" s="261"/>
      <c r="O20" s="261"/>
    </row>
    <row r="21" spans="1:15">
      <c r="A21" s="44" t="s">
        <v>21</v>
      </c>
      <c r="B21" s="230">
        <f>'Gov Transfers '!C6</f>
        <v>641.94050916666663</v>
      </c>
      <c r="C21" s="230">
        <f>'Gov Transfers '!D6+'Gov Transfers '!D7</f>
        <v>7703.2861099999991</v>
      </c>
      <c r="D21" s="231">
        <f>'Gov Transfers '!I40</f>
        <v>199908.08771929823</v>
      </c>
      <c r="E21" s="261"/>
      <c r="F21" s="15"/>
      <c r="G21" s="261"/>
      <c r="H21" s="261"/>
      <c r="I21" s="261"/>
      <c r="J21" s="261"/>
      <c r="K21" s="261"/>
      <c r="L21" s="261"/>
      <c r="M21" s="261"/>
      <c r="N21" s="261"/>
      <c r="O21" s="261"/>
    </row>
    <row r="22" spans="1:15" s="198" customFormat="1">
      <c r="A22" s="44" t="s">
        <v>22</v>
      </c>
      <c r="B22" s="22">
        <f>Table4[[#This Row],[Annually]]/12</f>
        <v>0</v>
      </c>
      <c r="C22" s="67">
        <f>'Gov Transfers '!J49</f>
        <v>0</v>
      </c>
      <c r="D22" s="229">
        <f>'Gov Transfers '!I43</f>
        <v>0</v>
      </c>
      <c r="E22" s="261"/>
      <c r="F22" s="15"/>
      <c r="G22" s="261"/>
      <c r="H22" s="261"/>
      <c r="I22" s="261"/>
      <c r="J22" s="261"/>
      <c r="K22" s="261"/>
      <c r="L22" s="261"/>
      <c r="M22" s="261"/>
      <c r="N22" s="261"/>
      <c r="O22" s="261"/>
    </row>
    <row r="23" spans="1:15">
      <c r="A23" s="44" t="s">
        <v>23</v>
      </c>
      <c r="B23" s="232">
        <f>Table4[[#This Row],[Annually]]/12</f>
        <v>0</v>
      </c>
      <c r="C23" s="233">
        <f>MAX(0,255+60+60-(D38-30000)*0.05)</f>
        <v>0</v>
      </c>
      <c r="D23" s="229"/>
      <c r="E23" s="261"/>
      <c r="F23" s="1"/>
      <c r="G23" s="261"/>
      <c r="H23" s="261"/>
      <c r="I23" s="261"/>
      <c r="J23" s="261"/>
      <c r="K23" s="261"/>
      <c r="L23" s="261"/>
      <c r="M23" s="261"/>
      <c r="N23" s="261"/>
      <c r="O23" s="261"/>
    </row>
    <row r="24" spans="1:15">
      <c r="A24" s="51" t="s">
        <v>16</v>
      </c>
      <c r="B24" s="52">
        <f>SUM(B20:B23)</f>
        <v>641.94050916666663</v>
      </c>
      <c r="C24" s="52">
        <f>SUM(C20:C23)</f>
        <v>7703.2861099999991</v>
      </c>
      <c r="D24" s="234"/>
      <c r="E24" s="261"/>
      <c r="F24" s="6"/>
      <c r="G24" s="261"/>
      <c r="H24" s="261"/>
      <c r="I24" s="261"/>
      <c r="J24" s="261"/>
      <c r="K24" s="261"/>
      <c r="L24" s="261"/>
      <c r="M24" s="261"/>
      <c r="N24" s="261"/>
      <c r="O24" s="261"/>
    </row>
    <row r="25" spans="1:15" ht="17.100000000000001">
      <c r="A25" s="4"/>
      <c r="B25" s="16"/>
      <c r="C25" s="16"/>
      <c r="D25" s="24"/>
      <c r="E25" s="261"/>
      <c r="F25" s="1"/>
      <c r="G25" s="261"/>
      <c r="H25" s="261"/>
      <c r="I25" s="261"/>
      <c r="J25" s="261"/>
      <c r="K25" s="261"/>
      <c r="L25" s="261"/>
      <c r="M25" s="261"/>
      <c r="N25" s="261"/>
      <c r="O25" s="261"/>
    </row>
    <row r="26" spans="1:15" ht="17.100000000000001">
      <c r="A26" s="24" t="s">
        <v>24</v>
      </c>
      <c r="B26" s="24"/>
      <c r="C26" s="24"/>
      <c r="D26" s="1"/>
      <c r="E26" s="261"/>
      <c r="F26" s="1"/>
      <c r="G26" s="261"/>
      <c r="H26" s="261"/>
      <c r="I26" s="261"/>
      <c r="J26" s="261"/>
      <c r="K26" s="261"/>
      <c r="L26" s="261"/>
      <c r="M26" s="261"/>
      <c r="N26" s="261"/>
      <c r="O26" s="261"/>
    </row>
    <row r="27" spans="1:15">
      <c r="A27" s="26"/>
      <c r="B27" s="40"/>
      <c r="C27" s="25" t="s">
        <v>4</v>
      </c>
      <c r="D27" s="6"/>
      <c r="E27" s="176"/>
      <c r="F27" s="261"/>
      <c r="G27" s="261"/>
      <c r="H27" s="261"/>
      <c r="I27" s="261"/>
      <c r="J27" s="261"/>
      <c r="K27" s="261"/>
      <c r="L27" s="261"/>
      <c r="M27" s="261"/>
      <c r="N27" s="261"/>
      <c r="O27" s="261"/>
    </row>
    <row r="28" spans="1:15">
      <c r="A28" s="258" t="s">
        <v>25</v>
      </c>
      <c r="B28" s="23"/>
      <c r="C28" s="12">
        <f>C24+D44</f>
        <v>74944.024582844999</v>
      </c>
      <c r="D28" s="1"/>
      <c r="E28" s="5"/>
      <c r="F28" s="261"/>
      <c r="G28" s="261"/>
      <c r="H28" s="261"/>
      <c r="I28" s="261"/>
      <c r="J28" s="261"/>
      <c r="K28" s="261"/>
      <c r="L28" s="261"/>
      <c r="M28" s="261"/>
      <c r="N28" s="261"/>
      <c r="O28" s="261"/>
    </row>
    <row r="29" spans="1:15">
      <c r="A29" s="258" t="s">
        <v>26</v>
      </c>
      <c r="B29" s="23"/>
      <c r="C29" s="12">
        <f>C16</f>
        <v>74871.994617827077</v>
      </c>
      <c r="D29" s="1"/>
      <c r="E29" s="4"/>
      <c r="F29" s="35"/>
      <c r="G29" s="261"/>
      <c r="H29" s="1"/>
      <c r="I29" s="1"/>
      <c r="J29" s="1"/>
      <c r="K29" s="1"/>
      <c r="L29" s="261"/>
      <c r="M29" s="261"/>
      <c r="N29" s="261"/>
      <c r="O29" s="261"/>
    </row>
    <row r="30" spans="1:15">
      <c r="A30" s="265" t="s">
        <v>27</v>
      </c>
      <c r="B30" s="31"/>
      <c r="C30" s="28">
        <f>C28-C29</f>
        <v>72.029965017922223</v>
      </c>
      <c r="D30" s="1"/>
      <c r="E30" s="4"/>
      <c r="F30" s="261"/>
      <c r="G30" s="261"/>
      <c r="H30" s="1"/>
      <c r="I30" s="1"/>
      <c r="J30" s="1"/>
      <c r="K30" s="1"/>
      <c r="L30" s="261"/>
      <c r="M30" s="261"/>
      <c r="N30" s="261"/>
      <c r="O30" s="261"/>
    </row>
    <row r="31" spans="1:15">
      <c r="A31" s="4"/>
      <c r="B31" s="16"/>
      <c r="C31" s="16"/>
      <c r="D31" s="1"/>
      <c r="E31" s="1" t="s">
        <v>28</v>
      </c>
      <c r="F31" s="261"/>
      <c r="G31" s="261"/>
      <c r="H31" s="59"/>
      <c r="I31" s="60"/>
      <c r="J31" s="33"/>
      <c r="K31" s="261"/>
      <c r="L31" s="1"/>
      <c r="M31" s="1"/>
      <c r="N31" s="1"/>
      <c r="O31" s="1"/>
    </row>
    <row r="32" spans="1:15" ht="17.100000000000001">
      <c r="A32" s="24" t="s">
        <v>29</v>
      </c>
      <c r="B32" s="24"/>
      <c r="C32" s="24"/>
      <c r="D32" s="1"/>
      <c r="E32" s="1"/>
      <c r="F32" s="261"/>
      <c r="G32" s="261"/>
      <c r="H32" s="17"/>
      <c r="I32" s="1"/>
      <c r="J32" s="1"/>
      <c r="K32" s="261"/>
      <c r="L32" s="1"/>
      <c r="M32" s="1"/>
      <c r="N32" s="1"/>
      <c r="O32" s="1"/>
    </row>
    <row r="33" spans="1:15">
      <c r="A33" s="58" t="s">
        <v>30</v>
      </c>
      <c r="B33" s="48" t="s">
        <v>31</v>
      </c>
      <c r="C33" s="49" t="s">
        <v>32</v>
      </c>
      <c r="D33" s="50" t="s">
        <v>16</v>
      </c>
      <c r="E33" s="19"/>
      <c r="F33" s="261"/>
      <c r="G33" s="261"/>
      <c r="H33" s="261"/>
      <c r="I33" s="260"/>
      <c r="J33" s="260"/>
      <c r="K33" s="261"/>
      <c r="L33" s="1"/>
      <c r="M33" s="1"/>
      <c r="N33" s="1"/>
      <c r="O33" s="1"/>
    </row>
    <row r="34" spans="1:15">
      <c r="A34" s="55" t="s">
        <v>33</v>
      </c>
      <c r="B34" s="241">
        <v>35</v>
      </c>
      <c r="C34" s="9">
        <v>35</v>
      </c>
      <c r="D34" s="235">
        <f>B34+C34</f>
        <v>70</v>
      </c>
      <c r="E34" s="20"/>
      <c r="F34" s="261"/>
      <c r="G34" s="261"/>
      <c r="H34" s="261"/>
      <c r="I34" s="261"/>
      <c r="J34" s="261"/>
      <c r="K34" s="261"/>
      <c r="L34" s="3"/>
      <c r="M34" s="1"/>
      <c r="N34" s="1"/>
      <c r="O34" s="1"/>
    </row>
    <row r="35" spans="1:15">
      <c r="A35" s="43" t="s">
        <v>34</v>
      </c>
      <c r="B35" s="236">
        <v>22.05</v>
      </c>
      <c r="C35" s="30">
        <f>Table5[[#This Row],[Parent 1]]</f>
        <v>22.05</v>
      </c>
      <c r="D35" s="235"/>
      <c r="E35" s="19"/>
      <c r="F35" s="62"/>
      <c r="G35" s="261"/>
      <c r="H35" s="261"/>
      <c r="I35" s="261"/>
      <c r="J35" s="261"/>
      <c r="K35" s="261"/>
      <c r="L35" s="1"/>
      <c r="M35" s="3"/>
      <c r="N35" s="3"/>
      <c r="O35" s="1"/>
    </row>
    <row r="36" spans="1:15">
      <c r="A36" s="57" t="s">
        <v>35</v>
      </c>
      <c r="B36" s="29">
        <f>(B35*B34)*52</f>
        <v>40131</v>
      </c>
      <c r="C36" s="29">
        <f>B36</f>
        <v>40131</v>
      </c>
      <c r="D36" s="29">
        <f>B36+C36</f>
        <v>80262</v>
      </c>
      <c r="E36" s="4"/>
      <c r="F36" s="62"/>
      <c r="G36" s="261"/>
      <c r="H36" s="261"/>
      <c r="I36" s="261"/>
      <c r="J36" s="261"/>
      <c r="K36" s="261"/>
      <c r="L36" s="1"/>
      <c r="M36" s="1"/>
      <c r="N36" s="1"/>
      <c r="O36" s="1"/>
    </row>
    <row r="37" spans="1:15">
      <c r="A37" s="56" t="s">
        <v>36</v>
      </c>
      <c r="B37" s="22">
        <f>-'Taxes &amp; Credits'!H62-'Taxes &amp; Credits'!C79</f>
        <v>-13109.893</v>
      </c>
      <c r="C37" s="21">
        <f>-'Taxes &amp; Credits'!C79</f>
        <v>-109.893</v>
      </c>
      <c r="D37" s="21"/>
      <c r="E37" s="4"/>
      <c r="F37" s="62"/>
      <c r="G37" s="261"/>
      <c r="H37" s="18"/>
      <c r="I37" s="261"/>
      <c r="J37" s="261"/>
      <c r="K37" s="261"/>
      <c r="L37" s="1"/>
      <c r="M37" s="1"/>
      <c r="N37" s="1"/>
      <c r="O37" s="1"/>
    </row>
    <row r="38" spans="1:15">
      <c r="A38" s="44" t="s">
        <v>37</v>
      </c>
      <c r="B38" s="22">
        <f>B36+B37</f>
        <v>27021.107</v>
      </c>
      <c r="C38" s="22">
        <f>C36+C37</f>
        <v>40021.107000000004</v>
      </c>
      <c r="D38" s="22">
        <f>B38+C38</f>
        <v>67042.214000000007</v>
      </c>
      <c r="E38" s="20"/>
      <c r="F38" s="256"/>
      <c r="G38" s="2"/>
      <c r="H38" s="16"/>
      <c r="I38" s="261"/>
      <c r="J38" s="261"/>
      <c r="K38" s="261"/>
      <c r="L38" s="1"/>
      <c r="M38" s="1"/>
      <c r="N38" s="1"/>
      <c r="O38" s="1"/>
    </row>
    <row r="39" spans="1:15">
      <c r="A39" s="44" t="s">
        <v>38</v>
      </c>
      <c r="B39" s="230">
        <f>'Taxes &amp; Credits'!C8</f>
        <v>634.0698000000001</v>
      </c>
      <c r="C39" s="230">
        <f>'Taxes &amp; Credits'!D8</f>
        <v>634.0698000000001</v>
      </c>
      <c r="D39" s="22">
        <f t="shared" ref="D39:D45" si="0">B39+C39</f>
        <v>1268.1396000000002</v>
      </c>
      <c r="E39" s="20"/>
      <c r="F39" s="261"/>
      <c r="G39" s="261"/>
      <c r="H39" s="16"/>
      <c r="I39" s="261"/>
      <c r="J39" s="261"/>
      <c r="K39" s="1"/>
      <c r="L39" s="1"/>
      <c r="M39" s="1"/>
      <c r="N39" s="1"/>
      <c r="O39" s="1"/>
    </row>
    <row r="40" spans="1:15">
      <c r="A40" s="44" t="s">
        <v>39</v>
      </c>
      <c r="B40" s="237">
        <f>'Taxes &amp; Credits'!C13</f>
        <v>1923.1274999999998</v>
      </c>
      <c r="C40" s="237">
        <f>'Taxes &amp; Credits'!D13</f>
        <v>1923.1274999999998</v>
      </c>
      <c r="D40" s="22">
        <f t="shared" si="0"/>
        <v>3846.2549999999997</v>
      </c>
      <c r="E40" s="4"/>
      <c r="F40" s="261"/>
      <c r="G40" s="261"/>
      <c r="H40" s="16"/>
      <c r="I40" s="261"/>
      <c r="J40" s="261"/>
      <c r="K40" s="1"/>
      <c r="L40" s="1"/>
      <c r="M40" s="1"/>
      <c r="N40" s="1"/>
      <c r="O40" s="3"/>
    </row>
    <row r="41" spans="1:15">
      <c r="A41" s="44" t="s">
        <v>40</v>
      </c>
      <c r="B41" s="238">
        <f>'Taxes &amp; Credits'!H51</f>
        <v>1313.1413865</v>
      </c>
      <c r="C41" s="238">
        <f>'Taxes &amp; Credits'!I51</f>
        <v>3031.4634050000009</v>
      </c>
      <c r="D41" s="22">
        <f t="shared" si="0"/>
        <v>4344.6047915000008</v>
      </c>
      <c r="E41" s="4"/>
      <c r="F41" s="261"/>
      <c r="G41" s="261"/>
      <c r="H41" s="16"/>
      <c r="I41" s="261"/>
      <c r="J41" s="261"/>
      <c r="K41" s="1"/>
      <c r="L41" s="1"/>
      <c r="M41" s="1"/>
      <c r="N41" s="1"/>
      <c r="O41" s="1"/>
    </row>
    <row r="42" spans="1:15">
      <c r="A42" s="44" t="s">
        <v>41</v>
      </c>
      <c r="B42" s="238">
        <f>'Taxes &amp; Credits'!H38</f>
        <v>937.76487080700008</v>
      </c>
      <c r="C42" s="238">
        <f>'Taxes &amp; Credits'!I38</f>
        <v>2874.4972648479998</v>
      </c>
      <c r="D42" s="22">
        <f t="shared" si="0"/>
        <v>3812.2621356549998</v>
      </c>
      <c r="E42" s="2"/>
      <c r="F42" s="261"/>
      <c r="G42" s="261"/>
      <c r="H42" s="16"/>
      <c r="I42" s="261"/>
      <c r="J42" s="261"/>
      <c r="K42" s="1"/>
      <c r="L42" s="1"/>
      <c r="M42" s="1"/>
      <c r="N42" s="1"/>
      <c r="O42" s="1"/>
    </row>
    <row r="43" spans="1:15">
      <c r="A43" s="44" t="s">
        <v>42</v>
      </c>
      <c r="B43" s="232">
        <f>'Taxes &amp; Credits'!C59</f>
        <v>0</v>
      </c>
      <c r="C43" s="232">
        <f>-'Taxes &amp; Credits'!L37</f>
        <v>-250</v>
      </c>
      <c r="D43" s="22">
        <f t="shared" si="0"/>
        <v>-250</v>
      </c>
      <c r="E43" s="1"/>
      <c r="F43" s="261"/>
      <c r="G43" s="261"/>
      <c r="H43" s="261"/>
      <c r="I43" s="261"/>
      <c r="J43" s="261"/>
      <c r="K43" s="1"/>
      <c r="L43" s="1"/>
      <c r="M43" s="1"/>
      <c r="N43" s="1"/>
      <c r="O43" s="1"/>
    </row>
    <row r="44" spans="1:15">
      <c r="A44" s="43" t="s">
        <v>43</v>
      </c>
      <c r="B44" s="28">
        <f>B36-SUM(B39:B43)</f>
        <v>35322.896442693003</v>
      </c>
      <c r="C44" s="28">
        <f>C36-SUM(C39:C43)</f>
        <v>31917.842030152002</v>
      </c>
      <c r="D44" s="28">
        <f>B44+C44</f>
        <v>67240.738472844998</v>
      </c>
      <c r="E44" s="1"/>
      <c r="F44" s="34"/>
      <c r="G44" s="261"/>
      <c r="H44" s="4"/>
      <c r="I44" s="261"/>
      <c r="J44" s="1"/>
      <c r="K44" s="1"/>
      <c r="L44" s="261"/>
      <c r="M44" s="261"/>
      <c r="N44" s="261"/>
      <c r="O44" s="1"/>
    </row>
    <row r="45" spans="1:15">
      <c r="A45" s="51" t="s">
        <v>44</v>
      </c>
      <c r="B45" s="28">
        <f>B44/12</f>
        <v>2943.5747035577501</v>
      </c>
      <c r="C45" s="28">
        <f>C44/12</f>
        <v>2659.8201691793333</v>
      </c>
      <c r="D45" s="28">
        <f t="shared" si="0"/>
        <v>5603.3948727370835</v>
      </c>
      <c r="E45" s="1"/>
      <c r="F45" s="1"/>
      <c r="G45" s="1"/>
      <c r="H45" s="4"/>
      <c r="I45" s="1"/>
      <c r="J45" s="1"/>
      <c r="K45" s="1"/>
      <c r="L45" s="261"/>
      <c r="M45" s="261"/>
      <c r="N45" s="261"/>
      <c r="O45" s="1"/>
    </row>
    <row r="46" spans="1:15">
      <c r="A46" s="261"/>
      <c r="B46" s="261"/>
      <c r="C46" s="261"/>
      <c r="D46" s="261"/>
      <c r="E46" s="1"/>
      <c r="F46" s="261"/>
      <c r="G46" s="261"/>
      <c r="H46" s="1"/>
      <c r="I46" s="3"/>
      <c r="J46" s="3"/>
      <c r="K46" s="1"/>
      <c r="L46" s="261"/>
      <c r="M46" s="261"/>
      <c r="N46" s="261"/>
      <c r="O46" s="1"/>
    </row>
    <row r="47" spans="1:15" ht="17.100000000000001">
      <c r="A47" s="259" t="s">
        <v>45</v>
      </c>
      <c r="B47" s="259"/>
      <c r="C47" s="259"/>
      <c r="D47" s="259"/>
      <c r="E47" s="3"/>
      <c r="F47" s="261"/>
      <c r="G47" s="261"/>
      <c r="H47" s="1"/>
      <c r="I47" s="1"/>
      <c r="J47" s="1"/>
      <c r="K47" s="1"/>
      <c r="L47" s="261"/>
      <c r="M47" s="261"/>
      <c r="N47" s="261"/>
      <c r="O47" s="1"/>
    </row>
    <row r="48" spans="1:15">
      <c r="A48" s="267" t="s">
        <v>46</v>
      </c>
      <c r="B48" s="268"/>
      <c r="C48" s="269"/>
      <c r="D48" s="12">
        <f xml:space="preserve"> D36</f>
        <v>80262</v>
      </c>
      <c r="E48" s="261"/>
      <c r="F48" s="261"/>
      <c r="G48" s="261"/>
      <c r="H48" s="1"/>
      <c r="I48" s="1"/>
      <c r="J48" s="1"/>
      <c r="K48" s="1"/>
      <c r="L48" s="261"/>
      <c r="M48" s="261"/>
      <c r="N48" s="261"/>
      <c r="O48" s="1"/>
    </row>
    <row r="49" spans="1:15" ht="17.100000000000001">
      <c r="A49" s="267" t="s">
        <v>47</v>
      </c>
      <c r="B49" s="268"/>
      <c r="C49" s="269"/>
      <c r="D49" s="12">
        <f>SUM(B39:B43)+SUM(C39:C43)</f>
        <v>13021.261527155</v>
      </c>
      <c r="E49" s="259"/>
      <c r="F49" s="261"/>
      <c r="G49" s="261"/>
      <c r="H49" s="1"/>
      <c r="I49" s="1"/>
      <c r="J49" s="1"/>
      <c r="K49" s="1"/>
      <c r="L49" s="261"/>
      <c r="M49" s="261"/>
      <c r="N49" s="261"/>
      <c r="O49" s="261"/>
    </row>
    <row r="50" spans="1:15">
      <c r="A50" s="267" t="s">
        <v>48</v>
      </c>
      <c r="B50" s="268"/>
      <c r="C50" s="269"/>
      <c r="D50" s="12">
        <f>D48-D49</f>
        <v>67240.738472844998</v>
      </c>
      <c r="E50" s="1"/>
      <c r="F50" s="261"/>
      <c r="G50" s="261"/>
      <c r="H50" s="1"/>
      <c r="I50" s="1"/>
      <c r="J50" s="1"/>
      <c r="K50" s="1"/>
      <c r="L50" s="261"/>
      <c r="M50" s="261"/>
      <c r="N50" s="261"/>
      <c r="O50" s="261"/>
    </row>
    <row r="51" spans="1:15">
      <c r="A51" s="267" t="s">
        <v>49</v>
      </c>
      <c r="B51" s="268"/>
      <c r="C51" s="269"/>
      <c r="D51" s="12">
        <f>C24</f>
        <v>7703.2861099999991</v>
      </c>
      <c r="E51" s="1"/>
      <c r="F51" s="261"/>
      <c r="G51" s="261"/>
      <c r="H51" s="3"/>
      <c r="I51" s="1"/>
      <c r="J51" s="1"/>
      <c r="K51" s="1"/>
      <c r="L51" s="261"/>
      <c r="M51" s="261"/>
      <c r="N51" s="261"/>
      <c r="O51" s="261"/>
    </row>
    <row r="52" spans="1:15">
      <c r="A52" s="267" t="s">
        <v>50</v>
      </c>
      <c r="B52" s="268"/>
      <c r="C52" s="269"/>
      <c r="D52" s="12">
        <f>D50+D51</f>
        <v>74944.024582844999</v>
      </c>
      <c r="E52" s="1"/>
      <c r="F52" s="261"/>
      <c r="G52" s="261"/>
      <c r="H52" s="1"/>
      <c r="I52" s="1"/>
      <c r="J52" s="1"/>
      <c r="K52" s="3"/>
      <c r="L52" s="261"/>
      <c r="M52" s="261"/>
      <c r="N52" s="261"/>
      <c r="O52" s="261"/>
    </row>
    <row r="53" spans="1:15">
      <c r="A53" s="267" t="s">
        <v>51</v>
      </c>
      <c r="B53" s="268"/>
      <c r="C53" s="269"/>
      <c r="D53" s="12">
        <f>C16</f>
        <v>74871.994617827077</v>
      </c>
      <c r="E53" s="1"/>
      <c r="F53" s="261"/>
      <c r="G53" s="1"/>
      <c r="H53" s="1"/>
      <c r="I53" s="1"/>
      <c r="J53" s="1"/>
      <c r="K53" s="1"/>
      <c r="L53" s="261"/>
      <c r="M53" s="261"/>
      <c r="N53" s="261"/>
      <c r="O53" s="261"/>
    </row>
    <row r="54" spans="1:15">
      <c r="A54" s="267" t="s">
        <v>52</v>
      </c>
      <c r="B54" s="268"/>
      <c r="C54" s="269"/>
      <c r="D54" s="12">
        <f>D52-D53</f>
        <v>72.029965017922223</v>
      </c>
      <c r="E54" s="1"/>
      <c r="F54" s="261"/>
      <c r="G54" s="261"/>
      <c r="H54" s="1"/>
      <c r="I54" s="1"/>
      <c r="J54" s="1"/>
      <c r="K54" s="1"/>
      <c r="L54" s="261"/>
      <c r="M54" s="261"/>
      <c r="N54" s="261"/>
      <c r="O54" s="261"/>
    </row>
    <row r="55" spans="1:15">
      <c r="A55" s="261"/>
      <c r="B55" s="261"/>
      <c r="C55" s="261"/>
      <c r="D55" s="261"/>
      <c r="E55" s="1"/>
      <c r="F55" s="261"/>
      <c r="G55" s="261"/>
      <c r="H55" s="1"/>
      <c r="I55" s="1"/>
      <c r="J55" s="1"/>
      <c r="K55" s="1"/>
      <c r="L55" s="261"/>
      <c r="M55" s="261"/>
      <c r="N55" s="261"/>
      <c r="O55" s="261"/>
    </row>
    <row r="56" spans="1:15">
      <c r="A56" s="261"/>
      <c r="B56" s="261"/>
      <c r="C56" s="261"/>
      <c r="D56" s="261"/>
      <c r="E56" s="3"/>
      <c r="F56" s="261"/>
      <c r="G56" s="261"/>
      <c r="H56" s="1"/>
      <c r="I56" s="1"/>
      <c r="J56" s="1"/>
      <c r="K56" s="1"/>
      <c r="L56" s="261"/>
      <c r="M56" s="261"/>
      <c r="N56" s="261"/>
      <c r="O56" s="261"/>
    </row>
    <row r="57" spans="1:15">
      <c r="A57" s="261"/>
      <c r="B57" s="261"/>
      <c r="C57" s="261"/>
      <c r="D57" s="261"/>
      <c r="E57" s="1"/>
      <c r="F57" s="261"/>
      <c r="G57" s="261"/>
      <c r="H57" s="1"/>
      <c r="I57" s="261"/>
      <c r="J57" s="261"/>
      <c r="K57" s="1"/>
      <c r="L57" s="261"/>
      <c r="M57" s="261"/>
      <c r="N57" s="261"/>
      <c r="O57" s="261"/>
    </row>
    <row r="58" spans="1:15">
      <c r="A58" s="261"/>
      <c r="B58" s="261"/>
      <c r="C58" s="261"/>
      <c r="D58" s="261"/>
      <c r="E58" s="261"/>
      <c r="F58" s="261"/>
      <c r="G58" s="261"/>
      <c r="H58" s="1"/>
      <c r="I58" s="261"/>
      <c r="J58" s="261"/>
      <c r="K58" s="1"/>
      <c r="L58" s="261"/>
      <c r="M58" s="261"/>
      <c r="N58" s="261"/>
      <c r="O58" s="261"/>
    </row>
    <row r="59" spans="1:15">
      <c r="A59" s="261"/>
      <c r="B59" s="261"/>
      <c r="C59" s="261"/>
      <c r="D59" s="261"/>
      <c r="E59" s="261"/>
      <c r="F59" s="261"/>
      <c r="G59" s="261"/>
      <c r="H59" s="1"/>
      <c r="I59" s="261"/>
      <c r="J59" s="261"/>
      <c r="K59" s="1"/>
      <c r="L59" s="261"/>
      <c r="M59" s="261"/>
      <c r="N59" s="261"/>
      <c r="O59" s="261"/>
    </row>
    <row r="60" spans="1:15">
      <c r="A60" s="261"/>
      <c r="B60" s="261"/>
      <c r="C60" s="261"/>
      <c r="D60" s="261"/>
      <c r="E60" s="261"/>
      <c r="F60" s="261"/>
      <c r="G60" s="261"/>
      <c r="H60" s="1"/>
      <c r="I60" s="261"/>
      <c r="J60" s="261"/>
      <c r="K60" s="1"/>
      <c r="L60" s="261"/>
      <c r="M60" s="261"/>
      <c r="N60" s="261"/>
      <c r="O60" s="261"/>
    </row>
    <row r="61" spans="1:15">
      <c r="A61" s="261"/>
      <c r="B61" s="261"/>
      <c r="C61" s="261"/>
      <c r="D61" s="261"/>
      <c r="E61" s="261"/>
      <c r="F61" s="261"/>
      <c r="G61" s="261"/>
      <c r="H61" s="261"/>
      <c r="I61" s="261"/>
      <c r="J61" s="261"/>
      <c r="K61" s="1"/>
      <c r="L61" s="261"/>
      <c r="M61" s="261"/>
      <c r="N61" s="261"/>
      <c r="O61" s="261"/>
    </row>
  </sheetData>
  <mergeCells count="9">
    <mergeCell ref="A1:E1"/>
    <mergeCell ref="A54:C54"/>
    <mergeCell ref="A48:C48"/>
    <mergeCell ref="A49:C49"/>
    <mergeCell ref="A50:C50"/>
    <mergeCell ref="A51:C51"/>
    <mergeCell ref="A52:C52"/>
    <mergeCell ref="A53:C53"/>
    <mergeCell ref="A2:D2"/>
  </mergeCells>
  <phoneticPr fontId="7" type="noConversion"/>
  <pageMargins left="0.7" right="0.7" top="0.75" bottom="0.75" header="0.3" footer="0.3"/>
  <pageSetup orientation="portrait" r:id="rId1"/>
  <ignoredErrors>
    <ignoredError sqref="C10 B11 B14" formula="1"/>
  </ignoredErrors>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74"/>
  <sheetViews>
    <sheetView zoomScale="134" zoomScaleNormal="134" workbookViewId="0">
      <selection activeCell="I23" sqref="I23"/>
    </sheetView>
  </sheetViews>
  <sheetFormatPr defaultColWidth="8.85546875" defaultRowHeight="15"/>
  <cols>
    <col min="1" max="1" width="3.140625" style="38" customWidth="1"/>
    <col min="2" max="2" width="26" style="38" customWidth="1"/>
    <col min="3" max="6" width="8.85546875" style="38"/>
    <col min="7" max="7" width="13.140625" style="38" customWidth="1"/>
    <col min="8" max="8" width="37.85546875" style="38" customWidth="1"/>
    <col min="9" max="9" width="12.28515625" style="38" customWidth="1"/>
    <col min="10" max="10" width="11.42578125" style="38" customWidth="1"/>
    <col min="11" max="11" width="13.7109375" style="38" customWidth="1"/>
    <col min="12" max="12" width="11.7109375" style="38" customWidth="1"/>
    <col min="13" max="16384" width="8.85546875" style="38"/>
  </cols>
  <sheetData>
    <row r="1" spans="2:14" ht="15.95">
      <c r="B1" s="199" t="s">
        <v>53</v>
      </c>
      <c r="C1" s="261"/>
      <c r="D1" s="261"/>
      <c r="E1" s="261"/>
      <c r="F1" s="261"/>
      <c r="G1" s="261"/>
      <c r="H1" s="261"/>
      <c r="I1" s="261"/>
      <c r="J1" s="261"/>
      <c r="K1" s="261"/>
      <c r="L1" s="261"/>
      <c r="M1" s="261"/>
      <c r="N1" s="261"/>
    </row>
    <row r="4" spans="2:14" ht="18" thickBot="1">
      <c r="B4" s="88" t="s">
        <v>17</v>
      </c>
      <c r="C4" s="261"/>
      <c r="D4" s="261"/>
      <c r="E4" s="261"/>
      <c r="F4" s="261"/>
      <c r="G4" s="261"/>
      <c r="H4" s="89" t="s">
        <v>54</v>
      </c>
      <c r="I4" s="261"/>
      <c r="J4" s="261"/>
      <c r="K4" s="261"/>
      <c r="L4" s="261"/>
      <c r="M4" s="261"/>
      <c r="N4" s="261"/>
    </row>
    <row r="5" spans="2:14" ht="15.95" thickBot="1">
      <c r="B5" s="90" t="s">
        <v>18</v>
      </c>
      <c r="C5" s="91" t="s">
        <v>55</v>
      </c>
      <c r="D5" s="91" t="s">
        <v>56</v>
      </c>
      <c r="E5" s="92" t="s">
        <v>57</v>
      </c>
      <c r="F5" s="261"/>
      <c r="G5" s="261"/>
      <c r="H5" s="93" t="s">
        <v>58</v>
      </c>
      <c r="I5" s="94" t="s">
        <v>31</v>
      </c>
      <c r="J5" s="94" t="s">
        <v>32</v>
      </c>
      <c r="K5" s="95" t="s">
        <v>16</v>
      </c>
      <c r="L5" s="261"/>
      <c r="M5" s="261"/>
      <c r="N5" s="261"/>
    </row>
    <row r="6" spans="2:14" ht="17.100000000000001" thickTop="1" thickBot="1">
      <c r="B6" s="96" t="s">
        <v>59</v>
      </c>
      <c r="C6" s="100">
        <f>D6/6</f>
        <v>641.94050916666663</v>
      </c>
      <c r="D6" s="101">
        <f>I38</f>
        <v>3851.6430549999995</v>
      </c>
      <c r="E6" s="97"/>
      <c r="F6" s="261"/>
      <c r="G6" s="261"/>
      <c r="H6" s="87" t="s">
        <v>60</v>
      </c>
      <c r="I6" s="135">
        <f>'LW 2021 Income'!B36</f>
        <v>40131</v>
      </c>
      <c r="J6" s="135">
        <f>'LW 2021 Income'!C36</f>
        <v>40131</v>
      </c>
      <c r="K6" s="135">
        <f>SUM(I6:J6)</f>
        <v>80262</v>
      </c>
      <c r="L6" s="261"/>
      <c r="M6" s="261"/>
      <c r="N6" s="261"/>
    </row>
    <row r="7" spans="2:14" ht="17.100000000000001" thickTop="1" thickBot="1">
      <c r="B7" s="96" t="s">
        <v>61</v>
      </c>
      <c r="C7" s="100">
        <f>D7/6</f>
        <v>641.94050916666663</v>
      </c>
      <c r="D7" s="101">
        <f>I39</f>
        <v>3851.6430549999995</v>
      </c>
      <c r="E7" s="97"/>
      <c r="F7" s="261"/>
      <c r="G7" s="261"/>
      <c r="H7" s="85" t="s">
        <v>62</v>
      </c>
      <c r="I7" s="135">
        <f>'LW 2021 Income'!C10</f>
        <v>13593</v>
      </c>
      <c r="J7" s="135">
        <f>'LW 2021 Income'!C37</f>
        <v>-109.893</v>
      </c>
      <c r="K7" s="135">
        <f t="shared" ref="K7:K15" si="0">SUM(I7:J7)</f>
        <v>13483.107</v>
      </c>
      <c r="L7" s="261"/>
      <c r="M7" s="261"/>
      <c r="N7" s="261"/>
    </row>
    <row r="8" spans="2:14" ht="17.100000000000001" thickTop="1" thickBot="1">
      <c r="B8" s="96" t="s">
        <v>63</v>
      </c>
      <c r="C8" s="102">
        <f>D8/12</f>
        <v>0</v>
      </c>
      <c r="D8" s="103">
        <f>I49</f>
        <v>0</v>
      </c>
      <c r="E8" s="97"/>
      <c r="F8" s="261"/>
      <c r="G8" s="261"/>
      <c r="H8" s="42" t="s">
        <v>36</v>
      </c>
      <c r="I8" s="135">
        <f>'LW 2021 Income'!B37</f>
        <v>-13109.893</v>
      </c>
      <c r="J8" s="135">
        <f>J7</f>
        <v>-109.893</v>
      </c>
      <c r="K8" s="135">
        <f t="shared" si="0"/>
        <v>-13219.786</v>
      </c>
      <c r="L8" s="261"/>
      <c r="M8" s="200"/>
      <c r="N8" s="261"/>
    </row>
    <row r="9" spans="2:14" ht="17.100000000000001" thickTop="1" thickBot="1">
      <c r="B9" s="96" t="s">
        <v>64</v>
      </c>
      <c r="C9" s="177" t="s">
        <v>65</v>
      </c>
      <c r="D9" s="177"/>
      <c r="E9" s="97"/>
      <c r="F9" s="261"/>
      <c r="G9" s="261"/>
      <c r="H9" s="85" t="s">
        <v>66</v>
      </c>
      <c r="I9" s="135">
        <f>'LW 2021 Income'!B38</f>
        <v>27021.107</v>
      </c>
      <c r="J9" s="135">
        <f>'LW 2021 Income'!C38</f>
        <v>40021.107000000004</v>
      </c>
      <c r="K9" s="135">
        <f t="shared" si="0"/>
        <v>67042.214000000007</v>
      </c>
      <c r="L9" s="261"/>
      <c r="M9" s="261"/>
      <c r="N9" s="261"/>
    </row>
    <row r="10" spans="2:14" ht="17.100000000000001" thickTop="1" thickBot="1">
      <c r="B10" s="96" t="s">
        <v>67</v>
      </c>
      <c r="C10" s="177" t="s">
        <v>68</v>
      </c>
      <c r="D10" s="177"/>
      <c r="E10" s="97"/>
      <c r="F10" s="261"/>
      <c r="G10" s="261"/>
      <c r="H10" s="42" t="s">
        <v>38</v>
      </c>
      <c r="I10" s="135">
        <f>'LW 2021 Income'!B39</f>
        <v>634.0698000000001</v>
      </c>
      <c r="J10" s="135">
        <f>'LW 2021 Income'!C39</f>
        <v>634.0698000000001</v>
      </c>
      <c r="K10" s="135">
        <f t="shared" si="0"/>
        <v>1268.1396000000002</v>
      </c>
      <c r="L10" s="261"/>
      <c r="M10" s="261"/>
      <c r="N10" s="261"/>
    </row>
    <row r="11" spans="2:14" ht="17.100000000000001" thickTop="1" thickBot="1">
      <c r="B11" s="96"/>
      <c r="C11" s="104"/>
      <c r="D11" s="105"/>
      <c r="E11" s="97"/>
      <c r="F11" s="261"/>
      <c r="G11" s="261"/>
      <c r="H11" s="85" t="s">
        <v>39</v>
      </c>
      <c r="I11" s="135">
        <f>'LW 2021 Income'!B40</f>
        <v>1923.1274999999998</v>
      </c>
      <c r="J11" s="135">
        <f>'LW 2021 Income'!C40</f>
        <v>1923.1274999999998</v>
      </c>
      <c r="K11" s="135">
        <f t="shared" si="0"/>
        <v>3846.2549999999997</v>
      </c>
      <c r="L11" s="261"/>
      <c r="M11" s="261"/>
      <c r="N11" s="261"/>
    </row>
    <row r="12" spans="2:14" ht="17.100000000000001" thickTop="1" thickBot="1">
      <c r="B12" s="96"/>
      <c r="C12" s="106"/>
      <c r="D12" s="106"/>
      <c r="E12" s="109"/>
      <c r="F12" s="261"/>
      <c r="G12" s="261"/>
      <c r="H12" s="42" t="s">
        <v>40</v>
      </c>
      <c r="I12" s="135">
        <f>'LW 2021 Income'!B41</f>
        <v>1313.1413865</v>
      </c>
      <c r="J12" s="135">
        <f>'LW 2021 Income'!C41</f>
        <v>3031.4634050000009</v>
      </c>
      <c r="K12" s="135">
        <f t="shared" si="0"/>
        <v>4344.6047915000008</v>
      </c>
      <c r="L12" s="261"/>
      <c r="M12" s="261"/>
      <c r="N12" s="261"/>
    </row>
    <row r="13" spans="2:14" ht="15.95" thickBot="1">
      <c r="B13" s="107"/>
      <c r="C13" s="108"/>
      <c r="D13" s="108"/>
      <c r="E13" s="261"/>
      <c r="F13" s="261"/>
      <c r="G13" s="261"/>
      <c r="H13" s="85" t="s">
        <v>41</v>
      </c>
      <c r="I13" s="135">
        <f>'LW 2021 Income'!B42</f>
        <v>937.76487080700008</v>
      </c>
      <c r="J13" s="135">
        <f>'LW 2021 Income'!C42</f>
        <v>2874.4972648479998</v>
      </c>
      <c r="K13" s="135">
        <f t="shared" si="0"/>
        <v>3812.2621356549998</v>
      </c>
      <c r="L13" s="261"/>
      <c r="M13" s="261"/>
      <c r="N13" s="261"/>
    </row>
    <row r="14" spans="2:14" ht="15.95" thickBot="1">
      <c r="B14" s="261"/>
      <c r="C14" s="261"/>
      <c r="D14" s="261"/>
      <c r="E14" s="261"/>
      <c r="F14" s="261"/>
      <c r="G14" s="261"/>
      <c r="H14" s="42" t="s">
        <v>42</v>
      </c>
      <c r="I14" s="135">
        <f>'LW 2021 Income'!B43</f>
        <v>0</v>
      </c>
      <c r="J14" s="135">
        <f>'LW 2021 Income'!C43</f>
        <v>-250</v>
      </c>
      <c r="K14" s="135">
        <f t="shared" si="0"/>
        <v>-250</v>
      </c>
      <c r="L14" s="261"/>
      <c r="M14" s="261"/>
      <c r="N14" s="261"/>
    </row>
    <row r="15" spans="2:14" ht="21" thickTop="1" thickBot="1">
      <c r="B15" s="273" t="s">
        <v>69</v>
      </c>
      <c r="C15" s="274"/>
      <c r="D15" s="261"/>
      <c r="E15" s="261"/>
      <c r="F15" s="261"/>
      <c r="G15" s="261"/>
      <c r="H15" s="85" t="s">
        <v>43</v>
      </c>
      <c r="I15" s="135">
        <f>'LW 2021 Income'!B44</f>
        <v>35322.896442693003</v>
      </c>
      <c r="J15" s="135">
        <f>'LW 2021 Income'!C44</f>
        <v>31917.842030152002</v>
      </c>
      <c r="K15" s="135">
        <f t="shared" si="0"/>
        <v>67240.738472844998</v>
      </c>
      <c r="L15" s="261"/>
      <c r="M15" s="260"/>
      <c r="N15" s="260"/>
    </row>
    <row r="16" spans="2:14" ht="17.100000000000001" thickTop="1" thickBot="1">
      <c r="B16" s="96" t="s">
        <v>70</v>
      </c>
      <c r="C16" s="99">
        <f>COUNTIF(C17:C18,"&lt;18")</f>
        <v>2</v>
      </c>
      <c r="D16" s="261"/>
      <c r="E16" s="261"/>
      <c r="F16" s="261"/>
      <c r="G16" s="261"/>
      <c r="H16" s="261"/>
      <c r="I16" s="261"/>
      <c r="J16" s="261"/>
      <c r="K16" s="261"/>
      <c r="L16" s="261"/>
      <c r="M16" s="261"/>
      <c r="N16" s="261"/>
    </row>
    <row r="17" spans="2:14">
      <c r="B17" s="96" t="s">
        <v>71</v>
      </c>
      <c r="C17" s="111">
        <v>2</v>
      </c>
      <c r="D17" s="261"/>
      <c r="E17" s="261"/>
      <c r="F17" s="261"/>
      <c r="G17" s="261"/>
      <c r="H17" s="133" t="s">
        <v>72</v>
      </c>
      <c r="I17" s="134"/>
      <c r="J17" s="261"/>
      <c r="K17" s="261"/>
      <c r="L17" s="261"/>
      <c r="M17" s="261"/>
      <c r="N17" s="261"/>
    </row>
    <row r="18" spans="2:14">
      <c r="B18" s="96" t="s">
        <v>73</v>
      </c>
      <c r="C18" s="111">
        <v>7</v>
      </c>
      <c r="D18" s="261"/>
      <c r="E18" s="261"/>
      <c r="F18" s="261"/>
      <c r="G18" s="261"/>
      <c r="H18" s="120" t="s">
        <v>74</v>
      </c>
      <c r="I18" s="97"/>
      <c r="J18" s="190"/>
      <c r="K18" s="261"/>
      <c r="L18" s="261"/>
      <c r="M18" s="261"/>
      <c r="N18" s="261"/>
    </row>
    <row r="19" spans="2:14">
      <c r="B19" s="96"/>
      <c r="C19" s="97"/>
      <c r="D19" s="261"/>
      <c r="E19" s="261"/>
      <c r="F19" s="261"/>
      <c r="G19" s="261"/>
      <c r="H19" s="121" t="s">
        <v>75</v>
      </c>
      <c r="I19" s="201">
        <v>31711</v>
      </c>
      <c r="J19" s="186"/>
      <c r="K19" s="261"/>
      <c r="L19" s="261"/>
      <c r="M19" s="261"/>
      <c r="N19" s="261"/>
    </row>
    <row r="20" spans="2:14">
      <c r="B20" s="115" t="s">
        <v>76</v>
      </c>
      <c r="C20" s="116">
        <v>0</v>
      </c>
      <c r="D20" s="39" t="s">
        <v>77</v>
      </c>
      <c r="E20" s="261"/>
      <c r="F20" s="261"/>
      <c r="G20" s="261"/>
      <c r="H20" s="121" t="s">
        <v>78</v>
      </c>
      <c r="I20" s="201">
        <v>68708</v>
      </c>
      <c r="J20" s="186" t="s">
        <v>79</v>
      </c>
      <c r="K20" s="261"/>
      <c r="L20" s="261"/>
      <c r="M20" s="261"/>
      <c r="N20" s="261"/>
    </row>
    <row r="21" spans="2:14">
      <c r="B21" s="115" t="s">
        <v>76</v>
      </c>
      <c r="C21" s="117">
        <f>C20*0</f>
        <v>0</v>
      </c>
      <c r="D21" s="39" t="s">
        <v>80</v>
      </c>
      <c r="E21" s="261"/>
      <c r="F21" s="261"/>
      <c r="G21" s="261"/>
      <c r="H21" s="122" t="s">
        <v>81</v>
      </c>
      <c r="I21" s="201">
        <v>6765</v>
      </c>
      <c r="J21" s="186" t="s">
        <v>82</v>
      </c>
      <c r="K21" s="261"/>
      <c r="L21" s="261"/>
      <c r="M21" s="261"/>
      <c r="N21" s="261"/>
    </row>
    <row r="22" spans="2:14" ht="15.95" thickBot="1">
      <c r="B22" s="118" t="s">
        <v>76</v>
      </c>
      <c r="C22" s="119">
        <f>C21</f>
        <v>0</v>
      </c>
      <c r="D22" s="39" t="s">
        <v>83</v>
      </c>
      <c r="E22" s="261"/>
      <c r="F22" s="261"/>
      <c r="G22" s="261"/>
      <c r="H22" s="122" t="s">
        <v>84</v>
      </c>
      <c r="I22" s="201">
        <v>5708</v>
      </c>
      <c r="J22" s="186" t="s">
        <v>85</v>
      </c>
      <c r="K22" s="261"/>
      <c r="L22" s="261"/>
      <c r="M22" s="260"/>
      <c r="N22" s="260"/>
    </row>
    <row r="23" spans="2:14">
      <c r="B23" s="261"/>
      <c r="C23" s="261"/>
      <c r="D23" s="261"/>
      <c r="E23" s="261"/>
      <c r="F23" s="261"/>
      <c r="G23" s="261"/>
      <c r="H23" s="120" t="s">
        <v>86</v>
      </c>
      <c r="I23" s="97"/>
      <c r="J23" s="186"/>
      <c r="K23" s="200"/>
      <c r="L23" s="261"/>
      <c r="M23" s="261"/>
      <c r="N23" s="261"/>
    </row>
    <row r="24" spans="2:14">
      <c r="B24" s="261"/>
      <c r="C24" s="261"/>
      <c r="D24" s="261"/>
      <c r="E24" s="261"/>
      <c r="F24" s="261"/>
      <c r="G24" s="261"/>
      <c r="H24" s="121" t="s">
        <v>75</v>
      </c>
      <c r="I24" s="201">
        <v>31711</v>
      </c>
      <c r="J24" s="261"/>
      <c r="K24" s="261"/>
      <c r="L24" s="261"/>
      <c r="M24" s="261"/>
      <c r="N24" s="261"/>
    </row>
    <row r="25" spans="2:14">
      <c r="B25" s="261"/>
      <c r="C25" s="261"/>
      <c r="D25" s="261"/>
      <c r="E25" s="261"/>
      <c r="F25" s="261"/>
      <c r="G25" s="261"/>
      <c r="H25" s="121" t="s">
        <v>78</v>
      </c>
      <c r="I25" s="201">
        <v>68708</v>
      </c>
      <c r="J25" s="261"/>
      <c r="K25" s="261"/>
      <c r="L25" s="261"/>
      <c r="M25" s="261"/>
      <c r="N25" s="261"/>
    </row>
    <row r="26" spans="2:14">
      <c r="B26" s="261"/>
      <c r="C26" s="261"/>
      <c r="D26" s="261"/>
      <c r="E26" s="261"/>
      <c r="F26" s="261"/>
      <c r="G26" s="261"/>
      <c r="H26" s="122" t="s">
        <v>81</v>
      </c>
      <c r="I26" s="201">
        <v>6765</v>
      </c>
      <c r="J26" s="261"/>
      <c r="K26" s="261"/>
      <c r="L26" s="261"/>
      <c r="M26" s="261"/>
      <c r="N26" s="261"/>
    </row>
    <row r="27" spans="2:14">
      <c r="B27" s="261"/>
      <c r="C27" s="261"/>
      <c r="D27" s="261"/>
      <c r="E27" s="261"/>
      <c r="F27" s="261"/>
      <c r="G27" s="261"/>
      <c r="H27" s="122" t="s">
        <v>84</v>
      </c>
      <c r="I27" s="201">
        <v>5708</v>
      </c>
      <c r="J27" s="261"/>
      <c r="K27" s="261"/>
      <c r="L27" s="261"/>
      <c r="M27" s="261"/>
      <c r="N27" s="261"/>
    </row>
    <row r="28" spans="2:14" ht="15.95">
      <c r="B28" s="261"/>
      <c r="C28" s="261"/>
      <c r="D28" s="261"/>
      <c r="E28" s="261"/>
      <c r="F28" s="261"/>
      <c r="G28" s="261"/>
      <c r="H28" s="123" t="s">
        <v>87</v>
      </c>
      <c r="I28" s="97"/>
      <c r="J28" s="261"/>
      <c r="K28" s="261"/>
      <c r="L28" s="261"/>
      <c r="M28" s="261"/>
      <c r="N28" s="261"/>
    </row>
    <row r="29" spans="2:14">
      <c r="B29" s="261"/>
      <c r="C29" s="261"/>
      <c r="D29" s="261"/>
      <c r="E29" s="261"/>
      <c r="F29" s="261"/>
      <c r="G29" s="261"/>
      <c r="H29" s="122" t="s">
        <v>88</v>
      </c>
      <c r="I29" s="112">
        <v>7.0000000000000007E-2</v>
      </c>
      <c r="J29" s="261"/>
      <c r="K29" s="261"/>
      <c r="L29" s="261"/>
      <c r="M29" s="261"/>
      <c r="N29" s="261"/>
    </row>
    <row r="30" spans="2:14">
      <c r="B30" s="261"/>
      <c r="C30" s="261"/>
      <c r="D30" s="261"/>
      <c r="E30" s="261"/>
      <c r="F30" s="261"/>
      <c r="G30" s="261"/>
      <c r="H30" s="122" t="s">
        <v>89</v>
      </c>
      <c r="I30" s="157">
        <v>0.13500000000000001</v>
      </c>
      <c r="J30" s="261"/>
      <c r="K30" s="261"/>
      <c r="L30" s="261"/>
      <c r="M30" s="261"/>
      <c r="N30" s="261"/>
    </row>
    <row r="31" spans="2:14">
      <c r="B31" s="261"/>
      <c r="C31" s="261"/>
      <c r="D31" s="261"/>
      <c r="E31" s="261"/>
      <c r="F31" s="261"/>
      <c r="G31" s="261"/>
      <c r="H31" s="122" t="s">
        <v>90</v>
      </c>
      <c r="I31" s="112">
        <v>0.19</v>
      </c>
      <c r="J31" s="261"/>
      <c r="K31" s="261"/>
      <c r="L31" s="261"/>
      <c r="M31" s="261"/>
      <c r="N31" s="261"/>
    </row>
    <row r="32" spans="2:14">
      <c r="B32" s="261"/>
      <c r="C32" s="261"/>
      <c r="D32" s="261"/>
      <c r="E32" s="261"/>
      <c r="F32" s="261"/>
      <c r="G32" s="261"/>
      <c r="H32" s="122" t="s">
        <v>91</v>
      </c>
      <c r="I32" s="112">
        <v>0.23</v>
      </c>
      <c r="J32" s="261"/>
      <c r="K32" s="261"/>
      <c r="L32" s="261"/>
      <c r="M32" s="261"/>
      <c r="N32" s="261"/>
    </row>
    <row r="33" spans="8:11" ht="15.95">
      <c r="H33" s="123" t="s">
        <v>92</v>
      </c>
      <c r="I33" s="124"/>
      <c r="J33" s="261"/>
      <c r="K33" s="261"/>
    </row>
    <row r="34" spans="8:11">
      <c r="H34" s="122" t="s">
        <v>88</v>
      </c>
      <c r="I34" s="112">
        <v>3.2000000000000001E-2</v>
      </c>
      <c r="J34" s="261"/>
      <c r="K34" s="261"/>
    </row>
    <row r="35" spans="8:11">
      <c r="H35" s="122" t="s">
        <v>89</v>
      </c>
      <c r="I35" s="157">
        <v>5.7000000000000002E-2</v>
      </c>
      <c r="J35" s="261"/>
      <c r="K35" s="261"/>
    </row>
    <row r="36" spans="8:11">
      <c r="H36" s="122" t="s">
        <v>90</v>
      </c>
      <c r="I36" s="112">
        <v>0.08</v>
      </c>
      <c r="J36" s="261"/>
      <c r="K36" s="261"/>
    </row>
    <row r="37" spans="8:11">
      <c r="H37" s="122" t="s">
        <v>91</v>
      </c>
      <c r="I37" s="125">
        <v>9.5000000000000001E-2</v>
      </c>
      <c r="J37" s="261"/>
      <c r="K37" s="261"/>
    </row>
    <row r="38" spans="8:11" ht="15.95">
      <c r="H38" s="126" t="s">
        <v>93</v>
      </c>
      <c r="I38" s="127">
        <f>0.5*IF(K9&lt;I19,(I21+I22),IF(K9&lt;I20,(I21+I22-(K9-I19)*I30),(I21+I22-(I20-I19)*I30-(K9-I20)*I35)))</f>
        <v>3851.6430549999995</v>
      </c>
      <c r="J38" s="261"/>
      <c r="K38" s="261"/>
    </row>
    <row r="39" spans="8:11" ht="15.95">
      <c r="H39" s="128" t="s">
        <v>94</v>
      </c>
      <c r="I39" s="129">
        <f>0.5*IF(K9&lt;I24,(I26+I27),IF(K9&lt;I25,(I26+I27-(K9-I24)*I30),(I26+I27-(I25-I24)*I30-(K9-I25)*I35)))</f>
        <v>3851.6430549999995</v>
      </c>
      <c r="J39" s="261"/>
      <c r="K39" s="261"/>
    </row>
    <row r="40" spans="8:11">
      <c r="H40" s="96" t="s">
        <v>95</v>
      </c>
      <c r="I40" s="130">
        <f>(I21+I22-(I20-I19)*I30)/I35+I20</f>
        <v>199908.08771929823</v>
      </c>
      <c r="J40" s="261"/>
      <c r="K40" s="261"/>
    </row>
    <row r="41" spans="8:11" ht="15.95" thickBot="1">
      <c r="H41" s="107" t="s">
        <v>96</v>
      </c>
      <c r="I41" s="131">
        <f>(I26+I27-(I25-I24)*I30)/I35+I25</f>
        <v>199908.08771929823</v>
      </c>
      <c r="J41" s="261"/>
      <c r="K41" s="261"/>
    </row>
    <row r="42" spans="8:11" ht="15.95" thickBot="1">
      <c r="H42" s="190" t="s">
        <v>97</v>
      </c>
      <c r="I42" s="261"/>
      <c r="J42" s="261"/>
      <c r="K42" s="261"/>
    </row>
    <row r="43" spans="8:11" ht="15.95" thickBot="1">
      <c r="H43" s="275" t="s">
        <v>98</v>
      </c>
      <c r="I43" s="276"/>
      <c r="J43" s="215" t="s">
        <v>99</v>
      </c>
      <c r="K43" s="261"/>
    </row>
    <row r="44" spans="8:11" ht="15.95" thickBot="1">
      <c r="H44" s="96" t="s">
        <v>100</v>
      </c>
      <c r="I44" s="110">
        <v>290</v>
      </c>
      <c r="J44" s="215">
        <v>284</v>
      </c>
      <c r="K44" s="261" t="s">
        <v>101</v>
      </c>
    </row>
    <row r="45" spans="8:11" ht="15.95" thickBot="1">
      <c r="H45" s="96" t="s">
        <v>102</v>
      </c>
      <c r="I45" s="110">
        <v>290</v>
      </c>
      <c r="J45" s="216">
        <v>284</v>
      </c>
      <c r="K45" s="261"/>
    </row>
    <row r="46" spans="8:11" ht="15.95" thickBot="1">
      <c r="H46" s="96" t="s">
        <v>103</v>
      </c>
      <c r="I46" s="110">
        <v>153</v>
      </c>
      <c r="J46" s="215">
        <v>149</v>
      </c>
      <c r="K46" s="261"/>
    </row>
    <row r="47" spans="8:11" ht="15.95" thickBot="1">
      <c r="H47" s="96" t="s">
        <v>104</v>
      </c>
      <c r="I47" s="110">
        <v>37789</v>
      </c>
      <c r="J47" s="217">
        <v>36976</v>
      </c>
      <c r="K47" s="261"/>
    </row>
    <row r="48" spans="8:11" ht="15.95" thickBot="1">
      <c r="H48" s="96" t="s">
        <v>105</v>
      </c>
      <c r="I48" s="113">
        <v>0.05</v>
      </c>
      <c r="J48" s="218">
        <v>0.05</v>
      </c>
      <c r="K48" s="261" t="s">
        <v>106</v>
      </c>
    </row>
    <row r="49" spans="1:10" ht="15.95" thickBot="1">
      <c r="A49" s="261"/>
      <c r="B49" s="261"/>
      <c r="C49" s="261"/>
      <c r="D49" s="261"/>
      <c r="E49" s="261"/>
      <c r="F49" s="261"/>
      <c r="G49" s="261"/>
      <c r="H49" s="132" t="s">
        <v>107</v>
      </c>
      <c r="I49" s="114">
        <f>MAX(0,(I44+I45+(I46*C16))-IF(K9&lt;I47,0,((K9-I47)*I48)))</f>
        <v>0</v>
      </c>
      <c r="J49" s="219">
        <f>MAX(0,(J44+J45+(J46*D16))-IF(K9&lt;J47,0,((K9-J47)*J48)))</f>
        <v>0</v>
      </c>
    </row>
    <row r="52" spans="1:10">
      <c r="A52" s="261" t="s">
        <v>108</v>
      </c>
      <c r="B52" s="261"/>
      <c r="C52" s="261"/>
      <c r="D52" s="261"/>
      <c r="E52" s="261"/>
      <c r="F52" s="261"/>
      <c r="G52" s="261"/>
      <c r="H52" s="261"/>
      <c r="I52" s="261"/>
      <c r="J52" s="261"/>
    </row>
    <row r="53" spans="1:10">
      <c r="A53" s="261" t="s">
        <v>109</v>
      </c>
      <c r="B53" s="261"/>
      <c r="C53" s="261"/>
      <c r="D53" s="261"/>
      <c r="E53" s="261"/>
      <c r="F53" s="261"/>
      <c r="G53" s="261"/>
      <c r="H53" s="261"/>
      <c r="I53" s="261"/>
      <c r="J53" s="261"/>
    </row>
    <row r="54" spans="1:10">
      <c r="A54" s="261" t="s">
        <v>110</v>
      </c>
      <c r="B54" s="261"/>
      <c r="C54" s="261"/>
      <c r="D54" s="261"/>
      <c r="E54" s="261"/>
      <c r="F54" s="261"/>
      <c r="G54" s="261"/>
      <c r="H54" s="261"/>
      <c r="I54" s="261"/>
      <c r="J54" s="261"/>
    </row>
    <row r="56" spans="1:10">
      <c r="A56" s="261" t="s">
        <v>111</v>
      </c>
      <c r="B56" s="261"/>
      <c r="C56" s="261"/>
      <c r="D56" s="261"/>
      <c r="E56" s="261"/>
      <c r="F56" s="261"/>
      <c r="G56" s="261"/>
      <c r="H56" s="261"/>
      <c r="I56" s="261"/>
      <c r="J56" s="261"/>
    </row>
    <row r="58" spans="1:10">
      <c r="A58" s="261" t="s">
        <v>112</v>
      </c>
      <c r="B58" s="261"/>
      <c r="C58" s="261"/>
      <c r="D58" s="261"/>
      <c r="E58" s="261"/>
      <c r="F58" s="261"/>
      <c r="G58" s="261"/>
      <c r="H58" s="261"/>
      <c r="I58" s="261"/>
      <c r="J58" s="261"/>
    </row>
    <row r="64" spans="1:10">
      <c r="A64" s="261"/>
      <c r="B64" s="261"/>
      <c r="C64" s="261"/>
      <c r="D64" s="261"/>
      <c r="E64" s="261"/>
      <c r="F64" s="261"/>
      <c r="G64" s="261"/>
      <c r="H64" s="271"/>
      <c r="I64" s="271"/>
      <c r="J64" s="261"/>
    </row>
    <row r="73" spans="8:9">
      <c r="H73" s="272"/>
      <c r="I73" s="272"/>
    </row>
    <row r="74" spans="8:9">
      <c r="H74" s="260"/>
      <c r="I74" s="260"/>
    </row>
  </sheetData>
  <mergeCells count="4">
    <mergeCell ref="H73:I73"/>
    <mergeCell ref="B15:C15"/>
    <mergeCell ref="H43:I43"/>
    <mergeCell ref="H64:I64"/>
  </mergeCells>
  <hyperlinks>
    <hyperlink ref="H42" r:id="rId1" xr:uid="{4A165DE4-8AD2-4B46-9AE3-A95EB32A59C3}"/>
  </hyperlinks>
  <pageMargins left="0.7" right="0.7" top="0.75" bottom="0.75" header="0.3" footer="0.3"/>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80"/>
  <sheetViews>
    <sheetView topLeftCell="G35" zoomScale="130" zoomScaleNormal="130" workbookViewId="0">
      <selection activeCell="L52" sqref="L52"/>
    </sheetView>
  </sheetViews>
  <sheetFormatPr defaultColWidth="8.85546875" defaultRowHeight="15"/>
  <cols>
    <col min="2" max="2" width="31.7109375" customWidth="1"/>
    <col min="3" max="3" width="10.140625" customWidth="1"/>
    <col min="6" max="6" width="5" style="178" customWidth="1"/>
    <col min="7" max="7" width="30.140625" customWidth="1"/>
    <col min="8" max="8" width="10.7109375" bestFit="1" customWidth="1"/>
    <col min="9" max="9" width="11.7109375" bestFit="1" customWidth="1"/>
    <col min="11" max="11" width="14.7109375" customWidth="1"/>
    <col min="12" max="12" width="15.140625" customWidth="1"/>
    <col min="13" max="13" width="9.28515625" bestFit="1" customWidth="1"/>
  </cols>
  <sheetData>
    <row r="1" spans="1:14" ht="15.95">
      <c r="A1" s="261"/>
      <c r="B1" s="199" t="s">
        <v>113</v>
      </c>
      <c r="C1" s="261"/>
      <c r="D1" s="261"/>
      <c r="E1" s="261"/>
      <c r="F1" s="261"/>
      <c r="G1" s="261"/>
      <c r="H1" s="261"/>
      <c r="I1" s="261"/>
      <c r="J1" s="261"/>
      <c r="K1" s="261"/>
      <c r="L1" s="261"/>
      <c r="M1" s="261"/>
      <c r="N1" s="261"/>
    </row>
    <row r="2" spans="1:14">
      <c r="A2" s="39"/>
      <c r="B2" s="261"/>
      <c r="C2" s="261"/>
      <c r="D2" s="261"/>
      <c r="E2" s="261"/>
      <c r="F2" s="261"/>
      <c r="G2" s="261"/>
      <c r="H2" s="261"/>
      <c r="I2" s="261"/>
      <c r="J2" s="261"/>
      <c r="K2" s="261"/>
      <c r="L2" s="261"/>
      <c r="M2" s="261"/>
      <c r="N2" s="261"/>
    </row>
    <row r="3" spans="1:14">
      <c r="A3" s="261"/>
      <c r="B3" s="261" t="s">
        <v>34</v>
      </c>
      <c r="C3" s="261">
        <f>'LW 2021 Income'!B35</f>
        <v>22.05</v>
      </c>
      <c r="D3" s="261">
        <v>2019</v>
      </c>
      <c r="E3" s="261"/>
      <c r="F3" s="261"/>
      <c r="G3" s="261"/>
      <c r="H3" s="261"/>
      <c r="I3" s="261"/>
      <c r="J3" s="261"/>
      <c r="K3" s="261"/>
      <c r="L3" s="261"/>
      <c r="M3" s="261"/>
      <c r="N3" s="261"/>
    </row>
    <row r="4" spans="1:14">
      <c r="A4" s="261"/>
      <c r="B4" s="261"/>
      <c r="C4" s="261"/>
      <c r="D4" s="261"/>
      <c r="E4" s="261"/>
      <c r="F4" s="261"/>
      <c r="G4" s="261"/>
      <c r="H4" s="261"/>
      <c r="I4" s="261"/>
      <c r="J4" s="261"/>
      <c r="K4" s="261"/>
      <c r="L4" s="261"/>
      <c r="M4" s="261"/>
      <c r="N4" s="261"/>
    </row>
    <row r="5" spans="1:14" ht="15.95" thickBot="1">
      <c r="A5" s="261"/>
      <c r="B5" s="200"/>
      <c r="C5" s="261"/>
      <c r="D5" s="261"/>
      <c r="E5" s="261"/>
      <c r="F5" s="261"/>
      <c r="G5" s="261"/>
      <c r="H5" s="261"/>
      <c r="I5" s="261"/>
      <c r="J5" s="261"/>
      <c r="K5" s="261"/>
      <c r="L5" s="261"/>
      <c r="M5" s="261"/>
      <c r="N5" s="261"/>
    </row>
    <row r="6" spans="1:14">
      <c r="A6" s="261"/>
      <c r="B6" s="136" t="s">
        <v>114</v>
      </c>
      <c r="C6" s="137"/>
      <c r="D6" s="137"/>
      <c r="E6" s="261"/>
      <c r="F6" s="261"/>
      <c r="G6" s="261"/>
      <c r="H6" s="261"/>
      <c r="I6" s="261"/>
      <c r="J6" s="261"/>
      <c r="K6" s="261"/>
      <c r="L6" s="261"/>
      <c r="M6" s="261"/>
      <c r="N6" s="261"/>
    </row>
    <row r="7" spans="1:14">
      <c r="A7" s="261"/>
      <c r="B7" s="96" t="s">
        <v>115</v>
      </c>
      <c r="C7" s="139">
        <v>1.5800000000000002E-2</v>
      </c>
      <c r="D7" s="106"/>
      <c r="E7" s="261"/>
      <c r="F7" s="261"/>
      <c r="G7" s="261"/>
      <c r="H7" s="261"/>
      <c r="I7" s="261"/>
      <c r="J7" s="261"/>
      <c r="K7" s="261"/>
      <c r="L7" s="261"/>
      <c r="M7" s="261"/>
      <c r="N7" s="261"/>
    </row>
    <row r="8" spans="1:14" ht="15.95" thickBot="1">
      <c r="A8" s="261"/>
      <c r="B8" s="107" t="s">
        <v>116</v>
      </c>
      <c r="C8" s="140">
        <f>C7*'LW 2021 Income'!B36</f>
        <v>634.0698000000001</v>
      </c>
      <c r="D8" s="140">
        <f>C7*'LW 2021 Income'!C36</f>
        <v>634.0698000000001</v>
      </c>
      <c r="E8" s="261"/>
      <c r="F8" s="261"/>
      <c r="G8" s="261"/>
      <c r="H8" s="261"/>
      <c r="I8" s="261"/>
      <c r="J8" s="261"/>
      <c r="K8" s="261"/>
      <c r="L8" s="261"/>
      <c r="M8" s="261"/>
      <c r="N8" s="261"/>
    </row>
    <row r="9" spans="1:14" ht="15.95" thickBot="1">
      <c r="A9" s="261"/>
      <c r="B9" s="200"/>
      <c r="C9" s="261"/>
      <c r="D9" s="261"/>
      <c r="E9" s="261"/>
      <c r="F9" s="261"/>
      <c r="G9" s="261"/>
      <c r="H9" s="261"/>
      <c r="I9" s="261"/>
      <c r="J9" s="261"/>
      <c r="K9" s="261"/>
      <c r="L9" s="261"/>
      <c r="M9" s="261"/>
      <c r="N9" s="261"/>
    </row>
    <row r="10" spans="1:14">
      <c r="A10" s="261"/>
      <c r="B10" s="136" t="s">
        <v>117</v>
      </c>
      <c r="C10" s="137"/>
      <c r="D10" s="138"/>
      <c r="E10" s="261"/>
      <c r="F10" s="261"/>
      <c r="G10" s="261"/>
      <c r="H10" s="261"/>
      <c r="I10" s="261"/>
      <c r="J10" s="261"/>
      <c r="K10" s="261"/>
      <c r="L10" s="261"/>
      <c r="M10" s="261"/>
      <c r="N10" s="261"/>
    </row>
    <row r="11" spans="1:14">
      <c r="A11" s="261"/>
      <c r="B11" s="96" t="s">
        <v>118</v>
      </c>
      <c r="C11" s="139">
        <v>5.2499999999999998E-2</v>
      </c>
      <c r="D11" s="97"/>
      <c r="E11" s="261"/>
      <c r="F11" s="261"/>
      <c r="G11" s="261"/>
      <c r="H11" s="261"/>
      <c r="I11" s="261"/>
      <c r="J11" s="261"/>
      <c r="K11" s="261"/>
      <c r="L11" s="261"/>
      <c r="M11" s="261"/>
      <c r="N11" s="261"/>
    </row>
    <row r="12" spans="1:14">
      <c r="A12" s="261"/>
      <c r="B12" s="96" t="s">
        <v>119</v>
      </c>
      <c r="C12" s="141">
        <v>3500</v>
      </c>
      <c r="D12" s="97"/>
      <c r="E12" s="261"/>
      <c r="F12" s="261"/>
      <c r="G12" s="261"/>
      <c r="H12" s="261"/>
      <c r="I12" s="261"/>
      <c r="J12" s="261"/>
      <c r="K12" s="261"/>
      <c r="L12" s="261"/>
      <c r="M12" s="261"/>
      <c r="N12" s="261"/>
    </row>
    <row r="13" spans="1:14" ht="15.95" thickBot="1">
      <c r="A13" s="261"/>
      <c r="B13" s="142" t="s">
        <v>120</v>
      </c>
      <c r="C13" s="140">
        <f>('LW 2021 Income'!B36-$C$12)*$C$11</f>
        <v>1923.1274999999998</v>
      </c>
      <c r="D13" s="202">
        <f>('LW 2021 Income'!C36-$C$12)*$C$11</f>
        <v>1923.1274999999998</v>
      </c>
      <c r="E13" s="261"/>
      <c r="F13" s="261"/>
      <c r="G13" s="261"/>
      <c r="H13" s="261"/>
      <c r="I13" s="261"/>
      <c r="J13" s="261"/>
      <c r="K13" s="261"/>
      <c r="L13" s="261"/>
      <c r="M13" s="261"/>
      <c r="N13" s="261"/>
    </row>
    <row r="14" spans="1:14" ht="15.95" thickBot="1">
      <c r="A14" s="261"/>
      <c r="B14" s="261"/>
      <c r="C14" s="261"/>
      <c r="D14" s="261"/>
      <c r="E14" s="261"/>
      <c r="F14" s="261"/>
      <c r="G14" s="204" t="s">
        <v>121</v>
      </c>
      <c r="H14" s="159" t="s">
        <v>122</v>
      </c>
      <c r="I14" s="160" t="s">
        <v>123</v>
      </c>
      <c r="J14" s="261"/>
      <c r="K14" s="203"/>
      <c r="L14" s="261"/>
      <c r="M14" s="261"/>
      <c r="N14" s="261"/>
    </row>
    <row r="15" spans="1:14">
      <c r="A15" s="261"/>
      <c r="B15" s="144" t="s">
        <v>124</v>
      </c>
      <c r="C15" s="39" t="s">
        <v>125</v>
      </c>
      <c r="D15" s="39" t="s">
        <v>126</v>
      </c>
      <c r="E15" s="261"/>
      <c r="F15" s="261"/>
      <c r="G15" s="205" t="s">
        <v>127</v>
      </c>
      <c r="H15" s="137"/>
      <c r="I15" s="138"/>
      <c r="J15" s="261"/>
      <c r="K15" s="190" t="s">
        <v>128</v>
      </c>
      <c r="L15" s="261"/>
      <c r="M15" s="261"/>
      <c r="N15" s="261"/>
    </row>
    <row r="16" spans="1:14" ht="15.95" thickBot="1">
      <c r="A16" s="261"/>
      <c r="B16" s="261" t="s">
        <v>129</v>
      </c>
      <c r="C16" s="187">
        <v>8481</v>
      </c>
      <c r="D16" s="145">
        <v>13229</v>
      </c>
      <c r="E16" s="261"/>
      <c r="F16" s="261"/>
      <c r="G16" s="96" t="s">
        <v>130</v>
      </c>
      <c r="H16" s="161">
        <f>C16</f>
        <v>8481</v>
      </c>
      <c r="I16" s="162">
        <f>C16</f>
        <v>8481</v>
      </c>
      <c r="J16" s="261"/>
      <c r="K16" s="190" t="s">
        <v>131</v>
      </c>
      <c r="L16" s="261"/>
      <c r="M16" s="261"/>
      <c r="N16" s="261"/>
    </row>
    <row r="17" spans="1:14" ht="17.100000000000001" thickTop="1" thickBot="1">
      <c r="A17" s="261"/>
      <c r="B17" s="261" t="s">
        <v>132</v>
      </c>
      <c r="C17" s="187">
        <v>8481</v>
      </c>
      <c r="D17" s="261"/>
      <c r="E17" s="261"/>
      <c r="F17" s="261"/>
      <c r="G17" s="96" t="s">
        <v>133</v>
      </c>
      <c r="H17" s="191">
        <v>3000</v>
      </c>
      <c r="I17" s="162">
        <f>H17</f>
        <v>3000</v>
      </c>
      <c r="J17" s="261"/>
      <c r="K17" s="190" t="s">
        <v>134</v>
      </c>
      <c r="L17" s="261"/>
      <c r="M17" s="261"/>
      <c r="N17" s="261"/>
    </row>
    <row r="18" spans="1:14" ht="17.100000000000001" thickTop="1" thickBot="1">
      <c r="A18" s="261"/>
      <c r="B18" s="261" t="s">
        <v>135</v>
      </c>
      <c r="C18" s="187">
        <v>4141</v>
      </c>
      <c r="D18" s="146">
        <v>7637</v>
      </c>
      <c r="E18" s="261"/>
      <c r="F18" s="261"/>
      <c r="G18" s="96" t="s">
        <v>136</v>
      </c>
      <c r="H18" s="161">
        <f>'LW 2021 Income'!B38</f>
        <v>27021.107</v>
      </c>
      <c r="I18" s="162">
        <f>'LW 2021 Income'!C38</f>
        <v>40021.107000000004</v>
      </c>
      <c r="J18" s="261"/>
      <c r="K18" s="261"/>
      <c r="L18" s="261"/>
      <c r="M18" s="261"/>
      <c r="N18" s="261"/>
    </row>
    <row r="19" spans="1:14" ht="17.100000000000001" thickTop="1" thickBot="1">
      <c r="A19" s="261"/>
      <c r="B19" s="261" t="s">
        <v>137</v>
      </c>
      <c r="C19" s="187">
        <v>8481</v>
      </c>
      <c r="D19" s="146" t="s">
        <v>138</v>
      </c>
      <c r="E19" s="261"/>
      <c r="F19" s="261"/>
      <c r="G19" s="96" t="s">
        <v>139</v>
      </c>
      <c r="H19" s="191">
        <v>25000</v>
      </c>
      <c r="I19" s="162">
        <f>H19</f>
        <v>25000</v>
      </c>
      <c r="J19" s="261"/>
      <c r="K19" s="190" t="s">
        <v>140</v>
      </c>
      <c r="L19" s="261"/>
      <c r="M19" s="261"/>
      <c r="N19" s="261"/>
    </row>
    <row r="20" spans="1:14" ht="15.95" thickTop="1">
      <c r="A20" s="261"/>
      <c r="B20" s="261" t="s">
        <v>141</v>
      </c>
      <c r="C20" s="188">
        <v>0.03</v>
      </c>
      <c r="D20" s="147">
        <v>0.03</v>
      </c>
      <c r="E20" s="261"/>
      <c r="F20" s="261"/>
      <c r="G20" s="96" t="s">
        <v>142</v>
      </c>
      <c r="H20" s="168">
        <f>IF(H18-H19 &lt;0,0,H18-H19)</f>
        <v>2021.107</v>
      </c>
      <c r="I20" s="171">
        <f>IF(I18-I19 &lt;0,0,I18-I19)</f>
        <v>15021.107000000004</v>
      </c>
      <c r="J20" s="261"/>
      <c r="K20" s="261"/>
      <c r="L20" s="261"/>
      <c r="M20" s="261"/>
      <c r="N20" s="261"/>
    </row>
    <row r="21" spans="1:14" ht="15.95" thickBot="1">
      <c r="A21" s="261"/>
      <c r="B21" s="261" t="s">
        <v>143</v>
      </c>
      <c r="C21" s="189">
        <v>8.7900000000000006E-2</v>
      </c>
      <c r="D21" s="147">
        <v>0.15</v>
      </c>
      <c r="E21" s="261"/>
      <c r="F21" s="261"/>
      <c r="G21" s="96" t="s">
        <v>144</v>
      </c>
      <c r="H21" s="192">
        <v>0.06</v>
      </c>
      <c r="I21" s="193">
        <f>H21</f>
        <v>0.06</v>
      </c>
      <c r="J21" s="261"/>
      <c r="K21" s="261"/>
      <c r="L21" s="261"/>
      <c r="M21" s="261"/>
      <c r="N21" s="261"/>
    </row>
    <row r="22" spans="1:14" ht="15.95" thickTop="1">
      <c r="A22" s="261"/>
      <c r="B22" s="261" t="s">
        <v>145</v>
      </c>
      <c r="C22" s="187"/>
      <c r="D22" s="148">
        <v>1245</v>
      </c>
      <c r="E22" s="261"/>
      <c r="F22" s="261"/>
      <c r="G22" s="96" t="s">
        <v>146</v>
      </c>
      <c r="H22" s="168">
        <f>H20*H21</f>
        <v>121.26642</v>
      </c>
      <c r="I22" s="171">
        <f>I20*I21</f>
        <v>901.26642000000015</v>
      </c>
      <c r="J22" s="261"/>
      <c r="K22" s="261"/>
      <c r="L22" s="261"/>
      <c r="M22" s="261"/>
      <c r="N22" s="261"/>
    </row>
    <row r="23" spans="1:14" s="182" customFormat="1">
      <c r="A23" s="261"/>
      <c r="B23" s="261" t="s">
        <v>147</v>
      </c>
      <c r="C23" s="187">
        <v>100</v>
      </c>
      <c r="D23" s="148"/>
      <c r="E23" s="261"/>
      <c r="F23" s="261"/>
      <c r="G23" s="96" t="s">
        <v>142</v>
      </c>
      <c r="H23" s="168">
        <f>H17-H22</f>
        <v>2878.7335800000001</v>
      </c>
      <c r="I23" s="171">
        <f>I17-I22</f>
        <v>2098.7335800000001</v>
      </c>
      <c r="J23" s="261"/>
      <c r="K23" s="261"/>
      <c r="L23" s="261"/>
      <c r="M23" s="261"/>
      <c r="N23" s="261"/>
    </row>
    <row r="24" spans="1:14" ht="15.95" thickBot="1">
      <c r="A24" s="261"/>
      <c r="B24" s="261"/>
      <c r="C24" s="261"/>
      <c r="D24" s="200"/>
      <c r="E24" s="261"/>
      <c r="F24" s="261"/>
      <c r="G24" s="107" t="s">
        <v>130</v>
      </c>
      <c r="H24" s="143">
        <f>MIN(H16+H23,H25)</f>
        <v>11359.73358</v>
      </c>
      <c r="I24" s="143">
        <f>MIN(I16+I23,I25)</f>
        <v>10579.73358</v>
      </c>
      <c r="J24" s="261"/>
      <c r="K24" s="261"/>
      <c r="L24" s="261"/>
      <c r="M24" s="261"/>
      <c r="N24" s="261"/>
    </row>
    <row r="25" spans="1:14" ht="15.95" thickBot="1">
      <c r="A25" s="261"/>
      <c r="B25" s="86" t="s">
        <v>148</v>
      </c>
      <c r="C25" s="261"/>
      <c r="D25" s="261"/>
      <c r="E25" s="261"/>
      <c r="F25" s="261"/>
      <c r="G25" s="107" t="s">
        <v>149</v>
      </c>
      <c r="H25" s="108">
        <v>11481</v>
      </c>
      <c r="I25" s="109">
        <v>11481</v>
      </c>
      <c r="J25" s="261"/>
      <c r="K25" s="261"/>
      <c r="L25" s="261"/>
      <c r="M25" s="261"/>
      <c r="N25" s="261"/>
    </row>
    <row r="26" spans="1:14">
      <c r="A26" s="261"/>
      <c r="B26" s="261" t="s">
        <v>150</v>
      </c>
      <c r="C26" s="187">
        <v>15000</v>
      </c>
      <c r="D26" s="261"/>
      <c r="E26" s="261"/>
      <c r="F26" s="261"/>
      <c r="G26" s="261"/>
      <c r="H26" s="261"/>
      <c r="I26" s="261"/>
      <c r="J26" s="261"/>
      <c r="K26" s="261"/>
      <c r="L26" s="261"/>
      <c r="M26" s="261"/>
      <c r="N26" s="261"/>
    </row>
    <row r="27" spans="1:14" ht="15.95" thickBot="1">
      <c r="A27" s="261"/>
      <c r="B27" s="261" t="s">
        <v>151</v>
      </c>
      <c r="C27" s="188">
        <v>0.05</v>
      </c>
      <c r="D27" s="261"/>
      <c r="E27" s="261"/>
      <c r="F27" s="261"/>
      <c r="G27" s="261"/>
      <c r="H27" s="261"/>
      <c r="I27" s="261"/>
      <c r="J27" s="261"/>
      <c r="K27" s="261"/>
      <c r="L27" s="261"/>
      <c r="M27" s="261"/>
      <c r="N27" s="261"/>
    </row>
    <row r="28" spans="1:14">
      <c r="A28" s="261"/>
      <c r="B28" s="261" t="s">
        <v>152</v>
      </c>
      <c r="C28" s="187">
        <f>300+300+165*2</f>
        <v>930</v>
      </c>
      <c r="D28" s="261"/>
      <c r="E28" s="261"/>
      <c r="F28" s="261"/>
      <c r="G28" s="195" t="s">
        <v>153</v>
      </c>
      <c r="H28" s="159" t="s">
        <v>122</v>
      </c>
      <c r="I28" s="160" t="s">
        <v>123</v>
      </c>
      <c r="J28" s="66" t="s">
        <v>154</v>
      </c>
      <c r="K28" s="261"/>
      <c r="L28" s="261"/>
      <c r="M28" s="261"/>
      <c r="N28" s="261"/>
    </row>
    <row r="29" spans="1:14" ht="15.95" thickBot="1">
      <c r="A29" s="261"/>
      <c r="B29" s="149" t="s">
        <v>155</v>
      </c>
      <c r="C29" s="175">
        <f>MAX(0,(C28-(('LW 2021 Income'!D38-C26)*'Taxes &amp; Credits'!C27)))</f>
        <v>0</v>
      </c>
      <c r="D29" s="261" t="s">
        <v>156</v>
      </c>
      <c r="E29" s="261"/>
      <c r="F29" s="261"/>
      <c r="G29" s="96" t="s">
        <v>130</v>
      </c>
      <c r="H29" s="98">
        <f>H24</f>
        <v>11359.73358</v>
      </c>
      <c r="I29" s="98">
        <f>I24</f>
        <v>10579.73358</v>
      </c>
      <c r="J29" s="261"/>
      <c r="K29" s="261"/>
      <c r="L29" s="261"/>
      <c r="M29" s="261"/>
      <c r="N29" s="261"/>
    </row>
    <row r="30" spans="1:14" ht="17.100000000000001" thickTop="1" thickBot="1">
      <c r="A30" s="261"/>
      <c r="B30" s="261"/>
      <c r="C30" s="261"/>
      <c r="D30" s="261"/>
      <c r="E30" s="261"/>
      <c r="F30" s="261"/>
      <c r="G30" s="96" t="s">
        <v>157</v>
      </c>
      <c r="H30" s="163">
        <f>C8</f>
        <v>634.0698000000001</v>
      </c>
      <c r="I30" s="164">
        <f>D8</f>
        <v>634.0698000000001</v>
      </c>
      <c r="J30" s="261"/>
      <c r="K30" s="261"/>
      <c r="L30" s="261"/>
      <c r="M30" s="261"/>
      <c r="N30" s="261"/>
    </row>
    <row r="31" spans="1:14" ht="17.100000000000001" thickTop="1" thickBot="1">
      <c r="A31" s="261"/>
      <c r="B31" s="144" t="s">
        <v>158</v>
      </c>
      <c r="C31" s="261"/>
      <c r="D31" s="261"/>
      <c r="E31" s="261"/>
      <c r="F31" s="261"/>
      <c r="G31" s="96" t="s">
        <v>159</v>
      </c>
      <c r="H31" s="163">
        <f>C78</f>
        <v>1813.2345</v>
      </c>
      <c r="I31" s="164">
        <f>C78</f>
        <v>1813.2345</v>
      </c>
      <c r="J31" s="261"/>
      <c r="K31" s="261"/>
      <c r="L31" s="261"/>
      <c r="M31" s="261"/>
      <c r="N31" s="261"/>
    </row>
    <row r="32" spans="1:14" ht="17.100000000000001" thickTop="1" thickBot="1">
      <c r="A32" s="261"/>
      <c r="B32" s="261" t="s">
        <v>160</v>
      </c>
      <c r="C32" s="261" t="s">
        <v>161</v>
      </c>
      <c r="D32" s="261" t="s">
        <v>162</v>
      </c>
      <c r="E32" s="261" t="s">
        <v>163</v>
      </c>
      <c r="F32" s="261"/>
      <c r="G32" s="96" t="s">
        <v>164</v>
      </c>
      <c r="H32" s="106"/>
      <c r="I32" s="166">
        <f>L34+M33</f>
        <v>1703.38</v>
      </c>
      <c r="J32" s="261"/>
      <c r="K32" s="277" t="s">
        <v>165</v>
      </c>
      <c r="L32" s="278"/>
      <c r="M32" s="261" t="s">
        <v>123</v>
      </c>
      <c r="N32" s="261"/>
    </row>
    <row r="33" spans="1:14" ht="17.100000000000001" thickTop="1" thickBot="1">
      <c r="A33" s="261"/>
      <c r="B33" s="187">
        <v>0</v>
      </c>
      <c r="C33" s="187">
        <v>29590</v>
      </c>
      <c r="D33" s="189">
        <v>8.7900000000000006E-2</v>
      </c>
      <c r="E33" s="187"/>
      <c r="F33" s="261"/>
      <c r="G33" s="96" t="s">
        <v>166</v>
      </c>
      <c r="H33" s="168">
        <f>'LW 2021 Income'!C11-'LW 2021 Income'!B38*C20</f>
        <v>1345.5267899999999</v>
      </c>
      <c r="I33" s="97"/>
      <c r="J33" s="261"/>
      <c r="K33" s="194" t="s">
        <v>167</v>
      </c>
      <c r="L33" s="154"/>
      <c r="M33" s="257">
        <f>L35-L37</f>
        <v>1223.3800000000001</v>
      </c>
      <c r="N33" s="261"/>
    </row>
    <row r="34" spans="1:14" ht="17.100000000000001" thickTop="1" thickBot="1">
      <c r="A34" s="261"/>
      <c r="B34" s="187">
        <v>29591</v>
      </c>
      <c r="C34" s="187">
        <v>59180</v>
      </c>
      <c r="D34" s="189">
        <v>0.14949999999999999</v>
      </c>
      <c r="E34" s="187">
        <v>2610</v>
      </c>
      <c r="F34" s="261"/>
      <c r="G34" s="96" t="s">
        <v>168</v>
      </c>
      <c r="H34" s="150">
        <f>C23*12</f>
        <v>1200</v>
      </c>
      <c r="I34" s="97"/>
      <c r="J34" s="261"/>
      <c r="K34" s="194" t="s">
        <v>169</v>
      </c>
      <c r="L34" s="154">
        <f>480</f>
        <v>480</v>
      </c>
      <c r="M34" s="261"/>
      <c r="N34" s="261"/>
    </row>
    <row r="35" spans="1:14" ht="17.100000000000001" thickTop="1" thickBot="1">
      <c r="A35" s="261"/>
      <c r="B35" s="187">
        <v>59181</v>
      </c>
      <c r="C35" s="187">
        <v>93000</v>
      </c>
      <c r="D35" s="189">
        <v>0.16669999999999999</v>
      </c>
      <c r="E35" s="187">
        <v>7025</v>
      </c>
      <c r="F35" s="261"/>
      <c r="G35" s="169" t="s">
        <v>170</v>
      </c>
      <c r="H35" s="170">
        <f>'LW 2021 Income'!B38*$D$33</f>
        <v>2375.1553053000002</v>
      </c>
      <c r="I35" s="206">
        <f>E34+('LW 2021 Income'!C38-B34)*'Taxes &amp; Credits'!D34</f>
        <v>4169.3009965000001</v>
      </c>
      <c r="J35" s="261" t="s">
        <v>171</v>
      </c>
      <c r="K35" s="155" t="s">
        <v>16</v>
      </c>
      <c r="L35" s="156">
        <f>'Family Expenses'!B39</f>
        <v>1473.38</v>
      </c>
      <c r="M35" s="261"/>
      <c r="N35" s="261"/>
    </row>
    <row r="36" spans="1:14">
      <c r="A36" s="261"/>
      <c r="B36" s="187">
        <v>93001</v>
      </c>
      <c r="C36" s="187">
        <v>150000</v>
      </c>
      <c r="D36" s="189">
        <v>0.17499999999999999</v>
      </c>
      <c r="E36" s="187">
        <v>12662</v>
      </c>
      <c r="F36" s="261"/>
      <c r="G36" s="169" t="s">
        <v>172</v>
      </c>
      <c r="H36" s="170">
        <f>(H29+H30+H31+H32+H33+H34)*$C$21</f>
        <v>1437.3904344930002</v>
      </c>
      <c r="I36" s="206">
        <f>(I29+I30+I31+I32+I33+I34)*$C$21-C29</f>
        <v>1294.8037316520001</v>
      </c>
      <c r="J36" s="261"/>
      <c r="K36" s="261"/>
      <c r="L36" s="261"/>
      <c r="M36" s="261"/>
      <c r="N36" s="261"/>
    </row>
    <row r="37" spans="1:14">
      <c r="A37" s="261"/>
      <c r="B37" s="187">
        <v>150001</v>
      </c>
      <c r="C37" s="187"/>
      <c r="D37" s="189">
        <v>0.21</v>
      </c>
      <c r="E37" s="187">
        <v>22637</v>
      </c>
      <c r="F37" s="261"/>
      <c r="G37" s="169" t="s">
        <v>173</v>
      </c>
      <c r="H37" s="106"/>
      <c r="I37" s="97"/>
      <c r="J37" s="261"/>
      <c r="K37" s="261" t="s">
        <v>174</v>
      </c>
      <c r="L37" s="261">
        <v>250</v>
      </c>
      <c r="M37" s="261"/>
      <c r="N37" s="261"/>
    </row>
    <row r="38" spans="1:14" ht="15.95" thickBot="1">
      <c r="A38" s="261"/>
      <c r="B38" s="186" t="s">
        <v>175</v>
      </c>
      <c r="C38" s="186"/>
      <c r="D38" s="186"/>
      <c r="E38" s="186"/>
      <c r="F38" s="261"/>
      <c r="G38" s="172" t="s">
        <v>176</v>
      </c>
      <c r="H38" s="140">
        <f>H35-H36-H37</f>
        <v>937.76487080700008</v>
      </c>
      <c r="I38" s="202">
        <f>I35-I36-I37</f>
        <v>2874.4972648479998</v>
      </c>
      <c r="J38" s="261"/>
      <c r="K38" s="261"/>
      <c r="L38" s="261"/>
      <c r="M38" s="261"/>
      <c r="N38" s="261"/>
    </row>
    <row r="39" spans="1:14">
      <c r="A39" s="261"/>
      <c r="B39" s="144" t="s">
        <v>177</v>
      </c>
      <c r="C39" s="261"/>
      <c r="D39" s="261"/>
      <c r="E39" s="261"/>
      <c r="F39" s="261"/>
      <c r="G39" s="136" t="s">
        <v>178</v>
      </c>
      <c r="H39" s="159" t="s">
        <v>122</v>
      </c>
      <c r="I39" s="160" t="s">
        <v>123</v>
      </c>
      <c r="J39" s="66" t="s">
        <v>154</v>
      </c>
      <c r="K39" s="261"/>
      <c r="L39" s="261"/>
      <c r="M39" s="261"/>
      <c r="N39" s="261"/>
    </row>
    <row r="40" spans="1:14" ht="15.95" thickBot="1">
      <c r="A40" s="261"/>
      <c r="B40" s="261" t="s">
        <v>160</v>
      </c>
      <c r="C40" s="261" t="s">
        <v>161</v>
      </c>
      <c r="D40" s="261" t="s">
        <v>162</v>
      </c>
      <c r="E40" s="261"/>
      <c r="F40" s="261"/>
      <c r="G40" s="96" t="s">
        <v>130</v>
      </c>
      <c r="H40" s="161">
        <f>D16</f>
        <v>13229</v>
      </c>
      <c r="I40" s="162">
        <f>D16</f>
        <v>13229</v>
      </c>
      <c r="J40" s="261"/>
      <c r="K40" s="261"/>
      <c r="L40" s="261"/>
      <c r="M40" s="261"/>
      <c r="N40" s="261"/>
    </row>
    <row r="41" spans="1:14" ht="17.100000000000001" thickTop="1" thickBot="1">
      <c r="A41" s="261"/>
      <c r="B41" s="145">
        <v>0</v>
      </c>
      <c r="C41" s="187">
        <v>48535</v>
      </c>
      <c r="D41" s="189">
        <v>0.15</v>
      </c>
      <c r="E41" s="261"/>
      <c r="F41" s="261"/>
      <c r="G41" s="96" t="s">
        <v>157</v>
      </c>
      <c r="H41" s="163">
        <f>C8</f>
        <v>634.0698000000001</v>
      </c>
      <c r="I41" s="164">
        <f>D8</f>
        <v>634.0698000000001</v>
      </c>
      <c r="J41" s="261"/>
      <c r="K41" s="261"/>
      <c r="L41" s="261"/>
      <c r="M41" s="261"/>
      <c r="N41" s="261"/>
    </row>
    <row r="42" spans="1:14" ht="17.100000000000001" thickTop="1" thickBot="1">
      <c r="A42" s="261"/>
      <c r="B42" s="146">
        <v>48535</v>
      </c>
      <c r="C42" s="187">
        <v>97069</v>
      </c>
      <c r="D42" s="189">
        <v>0.20499999999999999</v>
      </c>
      <c r="E42" s="261"/>
      <c r="F42" s="261"/>
      <c r="G42" s="96" t="s">
        <v>159</v>
      </c>
      <c r="H42" s="163">
        <f>C78</f>
        <v>1813.2345</v>
      </c>
      <c r="I42" s="164">
        <f>C78</f>
        <v>1813.2345</v>
      </c>
      <c r="J42" s="200"/>
      <c r="K42" s="261"/>
      <c r="L42" s="261"/>
      <c r="M42" s="261"/>
      <c r="N42" s="261"/>
    </row>
    <row r="43" spans="1:14" ht="17.100000000000001" thickTop="1" thickBot="1">
      <c r="A43" s="261"/>
      <c r="B43" s="146">
        <v>97069</v>
      </c>
      <c r="C43" s="187">
        <v>150473</v>
      </c>
      <c r="D43" s="189">
        <v>0.26</v>
      </c>
      <c r="E43" s="200"/>
      <c r="F43" s="261"/>
      <c r="G43" s="96" t="s">
        <v>179</v>
      </c>
      <c r="H43" s="165">
        <f>D22</f>
        <v>1245</v>
      </c>
      <c r="I43" s="166">
        <f>D22</f>
        <v>1245</v>
      </c>
      <c r="J43" s="261"/>
      <c r="K43" s="261"/>
      <c r="L43" s="261"/>
      <c r="M43" s="261"/>
      <c r="N43" s="261"/>
    </row>
    <row r="44" spans="1:14" ht="17.100000000000001" thickTop="1" thickBot="1">
      <c r="A44" s="261"/>
      <c r="B44" s="146">
        <v>150473</v>
      </c>
      <c r="C44" s="187">
        <v>214368</v>
      </c>
      <c r="D44" s="189">
        <v>0.28999999999999998</v>
      </c>
      <c r="E44" s="261"/>
      <c r="F44" s="261"/>
      <c r="G44" s="96" t="s">
        <v>180</v>
      </c>
      <c r="H44" s="106"/>
      <c r="I44" s="167">
        <f>L35-L37</f>
        <v>1223.3800000000001</v>
      </c>
      <c r="J44" s="261"/>
      <c r="K44" s="261"/>
      <c r="L44" s="261"/>
      <c r="M44" s="261"/>
      <c r="N44" s="261"/>
    </row>
    <row r="45" spans="1:14" ht="15.95" thickTop="1">
      <c r="A45" s="261"/>
      <c r="B45" s="146">
        <v>214368</v>
      </c>
      <c r="C45" s="187"/>
      <c r="D45" s="189">
        <v>0.33</v>
      </c>
      <c r="E45" s="261"/>
      <c r="F45" s="261"/>
      <c r="G45" s="96" t="s">
        <v>181</v>
      </c>
      <c r="H45" s="168">
        <f>'LW 2021 Income'!C11-'LW 2021 Income'!B38*D20</f>
        <v>1345.5267899999999</v>
      </c>
      <c r="I45" s="97"/>
      <c r="J45" s="261"/>
      <c r="K45" s="261"/>
      <c r="L45" s="261"/>
      <c r="M45" s="261"/>
      <c r="N45" s="261"/>
    </row>
    <row r="46" spans="1:14" s="183" customFormat="1">
      <c r="A46" s="261"/>
      <c r="B46" s="146"/>
      <c r="C46" s="146"/>
      <c r="D46" s="151"/>
      <c r="E46" s="261"/>
      <c r="F46" s="261"/>
      <c r="G46" s="96"/>
      <c r="H46" s="184"/>
      <c r="I46" s="150"/>
      <c r="J46" s="261"/>
      <c r="K46" s="261"/>
      <c r="L46" s="261"/>
      <c r="M46" s="261"/>
      <c r="N46" s="261"/>
    </row>
    <row r="47" spans="1:14">
      <c r="A47" s="261"/>
      <c r="B47" s="261"/>
      <c r="C47" s="261"/>
      <c r="D47" s="261"/>
      <c r="E47" s="261"/>
      <c r="F47" s="261"/>
      <c r="G47" s="96"/>
      <c r="H47" s="106"/>
      <c r="I47" s="97"/>
      <c r="J47" s="261"/>
      <c r="K47" s="279" t="s">
        <v>182</v>
      </c>
      <c r="L47" s="280"/>
      <c r="M47" s="261" t="s">
        <v>123</v>
      </c>
      <c r="N47" s="261"/>
    </row>
    <row r="48" spans="1:14" ht="15.95" thickBot="1">
      <c r="A48" s="261"/>
      <c r="B48" s="144" t="s">
        <v>183</v>
      </c>
      <c r="C48" s="261"/>
      <c r="D48" s="261"/>
      <c r="E48" s="261"/>
      <c r="F48" s="261"/>
      <c r="G48" s="169" t="s">
        <v>170</v>
      </c>
      <c r="H48" s="170">
        <f>'LW 2021 Income'!B38*$D$41</f>
        <v>4053.1660499999998</v>
      </c>
      <c r="I48" s="171">
        <f>'LW 2021 Income'!C38*$D$41</f>
        <v>6003.1660500000007</v>
      </c>
      <c r="J48" s="261"/>
      <c r="K48" s="10" t="s">
        <v>167</v>
      </c>
      <c r="L48" s="153">
        <f>'Family Expenses'!B36*2</f>
        <v>956</v>
      </c>
      <c r="M48" s="261"/>
      <c r="N48" s="261"/>
    </row>
    <row r="49" spans="1:14" ht="15.95" thickTop="1">
      <c r="A49" s="261"/>
      <c r="B49" s="261" t="s">
        <v>130</v>
      </c>
      <c r="C49" s="145">
        <v>3000</v>
      </c>
      <c r="D49" s="261"/>
      <c r="E49" s="261"/>
      <c r="F49" s="261"/>
      <c r="G49" s="169" t="s">
        <v>172</v>
      </c>
      <c r="H49" s="170">
        <f>(H40+H41+H42+H43+H45+H44)*$D$21</f>
        <v>2740.0246634999999</v>
      </c>
      <c r="I49" s="206">
        <f>SUM(I40:I47)*$D$21</f>
        <v>2721.7026449999998</v>
      </c>
      <c r="J49" s="261"/>
      <c r="K49" s="27" t="s">
        <v>16</v>
      </c>
      <c r="L49" s="247">
        <f>SUM(L48:L48)-L55</f>
        <v>706</v>
      </c>
      <c r="M49" s="261"/>
      <c r="N49" s="261"/>
    </row>
    <row r="50" spans="1:14">
      <c r="A50" s="261"/>
      <c r="B50" s="261" t="s">
        <v>184</v>
      </c>
      <c r="C50" s="147">
        <v>0.26</v>
      </c>
      <c r="D50" s="261"/>
      <c r="E50" s="261"/>
      <c r="F50" s="261"/>
      <c r="G50" s="169" t="s">
        <v>173</v>
      </c>
      <c r="H50" s="168">
        <f>C59</f>
        <v>0</v>
      </c>
      <c r="I50" s="248">
        <f>L55</f>
        <v>250</v>
      </c>
      <c r="J50" s="261"/>
      <c r="K50" s="261"/>
      <c r="L50" s="261"/>
      <c r="M50" s="200"/>
      <c r="N50" s="261"/>
    </row>
    <row r="51" spans="1:14" ht="15.95" thickBot="1">
      <c r="A51" s="261"/>
      <c r="B51" s="261" t="s">
        <v>185</v>
      </c>
      <c r="C51" s="145">
        <v>2335</v>
      </c>
      <c r="D51" s="200"/>
      <c r="E51" s="261"/>
      <c r="F51" s="261"/>
      <c r="G51" s="172" t="s">
        <v>186</v>
      </c>
      <c r="H51" s="173">
        <f>H48-H49-H50</f>
        <v>1313.1413865</v>
      </c>
      <c r="I51" s="174">
        <f>I48-I49-I50</f>
        <v>3031.4634050000009</v>
      </c>
      <c r="J51" s="261"/>
      <c r="K51" s="261"/>
      <c r="L51" s="190"/>
      <c r="M51" s="261"/>
      <c r="N51" s="261"/>
    </row>
    <row r="52" spans="1:14">
      <c r="A52" s="261"/>
      <c r="B52" s="261" t="s">
        <v>187</v>
      </c>
      <c r="C52" s="145">
        <v>36483</v>
      </c>
      <c r="D52" s="261"/>
      <c r="E52" s="261"/>
      <c r="F52" s="261"/>
      <c r="G52" s="261"/>
      <c r="H52" s="261"/>
      <c r="I52" s="261"/>
      <c r="J52" s="261"/>
      <c r="K52" s="261"/>
      <c r="L52" s="190" t="s">
        <v>188</v>
      </c>
      <c r="M52" s="261"/>
      <c r="N52" s="261"/>
    </row>
    <row r="53" spans="1:14">
      <c r="A53" s="261"/>
      <c r="B53" s="261" t="s">
        <v>189</v>
      </c>
      <c r="C53" s="145">
        <v>17025</v>
      </c>
      <c r="D53" s="261"/>
      <c r="E53" s="261"/>
      <c r="F53" s="261"/>
      <c r="G53" s="261"/>
      <c r="H53" s="261"/>
      <c r="I53" s="261"/>
      <c r="J53" s="261"/>
      <c r="K53" s="261"/>
      <c r="L53" s="261" t="s">
        <v>190</v>
      </c>
      <c r="M53" s="261"/>
      <c r="N53" s="261"/>
    </row>
    <row r="54" spans="1:14">
      <c r="A54" s="261"/>
      <c r="B54" s="261" t="s">
        <v>191</v>
      </c>
      <c r="C54" s="147">
        <v>0.12</v>
      </c>
      <c r="D54" s="261"/>
      <c r="E54" s="261"/>
      <c r="F54" s="261"/>
      <c r="G54" s="261"/>
      <c r="H54" s="261"/>
      <c r="I54" s="261"/>
      <c r="J54" s="261"/>
      <c r="K54" s="261"/>
      <c r="L54" s="261"/>
      <c r="M54" s="261"/>
      <c r="N54" s="261"/>
    </row>
    <row r="55" spans="1:14">
      <c r="A55" s="261"/>
      <c r="B55" s="261" t="s">
        <v>192</v>
      </c>
      <c r="C55" s="242">
        <f>IF('LW 2021 Income'!D36&lt;C52,(MIN(C50*('LW 2021 Income'!D36-C49),C49)-C54*('LW 2021 Income'!D38-C53)),0)</f>
        <v>0</v>
      </c>
      <c r="D55" s="261" t="s">
        <v>123</v>
      </c>
      <c r="E55" s="261" t="s">
        <v>68</v>
      </c>
      <c r="F55" s="261"/>
      <c r="G55" s="261"/>
      <c r="H55" s="261"/>
      <c r="I55" s="261"/>
      <c r="J55" s="261"/>
      <c r="K55" s="186" t="s">
        <v>193</v>
      </c>
      <c r="L55" s="246">
        <f>MIN(250,L48*0.5)</f>
        <v>250</v>
      </c>
      <c r="M55" s="261"/>
      <c r="N55" s="261"/>
    </row>
    <row r="56" spans="1:14">
      <c r="A56" s="261"/>
      <c r="B56" s="190" t="s">
        <v>194</v>
      </c>
      <c r="C56" s="261"/>
      <c r="D56" s="261"/>
      <c r="E56" s="261"/>
      <c r="F56" s="261"/>
      <c r="G56" s="261"/>
      <c r="H56" s="261"/>
      <c r="I56" s="261"/>
      <c r="J56" s="261"/>
      <c r="K56" s="261"/>
      <c r="L56" s="261"/>
      <c r="M56" s="261"/>
      <c r="N56" s="261"/>
    </row>
    <row r="57" spans="1:14" s="196" customFormat="1">
      <c r="A57" s="261"/>
      <c r="B57" s="261"/>
      <c r="C57" s="261"/>
      <c r="D57" s="261"/>
      <c r="E57" s="261"/>
      <c r="F57" s="261"/>
      <c r="G57" s="261"/>
      <c r="H57" s="261"/>
      <c r="I57" s="261"/>
      <c r="J57" s="261"/>
      <c r="K57" s="261"/>
      <c r="L57" s="261"/>
      <c r="M57" s="261"/>
      <c r="N57" s="261"/>
    </row>
    <row r="58" spans="1:14">
      <c r="A58" s="261"/>
      <c r="B58" s="152" t="s">
        <v>195</v>
      </c>
      <c r="C58" s="261"/>
      <c r="D58" s="261"/>
      <c r="E58" s="261"/>
      <c r="F58" s="261"/>
      <c r="G58" s="261"/>
      <c r="H58" s="261"/>
      <c r="I58" s="261"/>
      <c r="J58" s="261"/>
      <c r="K58" s="261"/>
      <c r="L58" s="261"/>
      <c r="M58" s="261"/>
      <c r="N58" s="261"/>
    </row>
    <row r="59" spans="1:14">
      <c r="A59" s="261"/>
      <c r="B59" s="158" t="s">
        <v>196</v>
      </c>
      <c r="C59" s="150">
        <v>0</v>
      </c>
      <c r="D59" s="261" t="s">
        <v>122</v>
      </c>
      <c r="E59" s="261" t="s">
        <v>68</v>
      </c>
      <c r="F59" s="261"/>
      <c r="G59" s="281" t="s">
        <v>197</v>
      </c>
      <c r="H59" s="282"/>
      <c r="I59" s="261"/>
      <c r="J59" s="261"/>
      <c r="K59" s="261"/>
      <c r="L59" s="261"/>
      <c r="M59" s="261"/>
      <c r="N59" s="261"/>
    </row>
    <row r="60" spans="1:14">
      <c r="A60" s="261"/>
      <c r="B60" s="200"/>
      <c r="C60" s="261"/>
      <c r="D60" s="261"/>
      <c r="E60" s="261"/>
      <c r="F60" s="261"/>
      <c r="G60" s="77" t="s">
        <v>198</v>
      </c>
      <c r="H60" s="42">
        <v>8000</v>
      </c>
      <c r="I60" s="261"/>
      <c r="J60" s="261"/>
      <c r="K60" s="261"/>
      <c r="L60" s="261"/>
      <c r="M60" s="261"/>
      <c r="N60" s="261"/>
    </row>
    <row r="61" spans="1:14">
      <c r="A61" s="261"/>
      <c r="B61" s="261" t="s">
        <v>199</v>
      </c>
      <c r="C61" s="261"/>
      <c r="D61" s="261"/>
      <c r="E61" s="261"/>
      <c r="F61" s="261"/>
      <c r="G61" s="77" t="s">
        <v>200</v>
      </c>
      <c r="H61" s="36">
        <v>5000</v>
      </c>
      <c r="I61" s="261"/>
      <c r="J61" s="261"/>
      <c r="K61" s="261"/>
      <c r="L61" s="261"/>
      <c r="M61" s="261"/>
      <c r="N61" s="261"/>
    </row>
    <row r="62" spans="1:14">
      <c r="A62" s="261"/>
      <c r="B62" s="261" t="s">
        <v>201</v>
      </c>
      <c r="C62" s="261"/>
      <c r="D62" s="261"/>
      <c r="E62" s="261"/>
      <c r="F62" s="261"/>
      <c r="G62" s="78" t="s">
        <v>16</v>
      </c>
      <c r="H62" s="41">
        <f>SUM(H60:H61)</f>
        <v>13000</v>
      </c>
      <c r="I62" s="261"/>
      <c r="J62" s="261"/>
      <c r="K62" s="261"/>
      <c r="L62" s="261"/>
      <c r="M62" s="261"/>
      <c r="N62" s="261"/>
    </row>
    <row r="63" spans="1:14">
      <c r="A63" s="261"/>
      <c r="B63" s="261"/>
      <c r="C63" s="261"/>
      <c r="D63" s="261"/>
      <c r="E63" s="261"/>
      <c r="F63" s="261"/>
      <c r="G63" s="261"/>
      <c r="H63" s="261"/>
      <c r="I63" s="261"/>
      <c r="J63" s="261"/>
      <c r="K63" s="261"/>
      <c r="L63" s="261"/>
      <c r="M63" s="261"/>
      <c r="N63" s="261"/>
    </row>
    <row r="64" spans="1:14">
      <c r="A64" s="261"/>
      <c r="B64" s="261"/>
      <c r="C64" s="261"/>
      <c r="D64" s="261"/>
      <c r="E64" s="261"/>
      <c r="F64" s="261"/>
      <c r="G64" s="261"/>
      <c r="H64" s="261"/>
      <c r="I64" s="261"/>
      <c r="J64" s="261"/>
      <c r="K64" s="261"/>
      <c r="L64" s="261"/>
      <c r="M64" s="261"/>
      <c r="N64" s="261"/>
    </row>
    <row r="65" spans="2:8">
      <c r="B65" s="261"/>
      <c r="C65" s="261"/>
      <c r="D65" s="261"/>
      <c r="E65" s="261"/>
      <c r="F65" s="261"/>
      <c r="G65" s="261"/>
      <c r="H65" s="261"/>
    </row>
    <row r="66" spans="2:8">
      <c r="B66" s="261"/>
      <c r="C66" s="261"/>
      <c r="D66" s="261"/>
      <c r="E66" s="261"/>
      <c r="F66" s="261"/>
      <c r="G66" s="261"/>
      <c r="H66" s="261"/>
    </row>
    <row r="68" spans="2:8">
      <c r="B68" s="261" t="s">
        <v>202</v>
      </c>
      <c r="C68" s="261"/>
      <c r="D68" s="261" t="s">
        <v>203</v>
      </c>
      <c r="E68" s="261"/>
      <c r="F68" s="261"/>
      <c r="G68" s="261"/>
      <c r="H68" s="261"/>
    </row>
    <row r="69" spans="2:8">
      <c r="B69" s="261">
        <v>0</v>
      </c>
      <c r="C69" s="261">
        <v>58700</v>
      </c>
      <c r="D69" s="261"/>
      <c r="E69" s="261"/>
      <c r="F69" s="261"/>
      <c r="G69" s="261"/>
      <c r="H69" s="261"/>
    </row>
    <row r="70" spans="2:8">
      <c r="B70" s="261" t="s">
        <v>204</v>
      </c>
      <c r="C70" s="245">
        <f>'LW 2021 Income'!B36</f>
        <v>40131</v>
      </c>
      <c r="D70" s="261" t="s">
        <v>205</v>
      </c>
      <c r="E70" s="261"/>
      <c r="F70" s="261"/>
      <c r="G70" s="261"/>
      <c r="H70" s="261"/>
    </row>
    <row r="71" spans="2:8">
      <c r="B71" s="261" t="s">
        <v>206</v>
      </c>
      <c r="C71" s="261">
        <f>MIN(C70,C69)</f>
        <v>40131</v>
      </c>
      <c r="D71" s="261"/>
      <c r="E71" s="261"/>
      <c r="F71" s="261"/>
      <c r="G71" s="261"/>
      <c r="H71" s="261"/>
    </row>
    <row r="72" spans="2:8">
      <c r="B72" s="261" t="s">
        <v>207</v>
      </c>
      <c r="C72" s="261">
        <f>MAX(3500)</f>
        <v>3500</v>
      </c>
      <c r="D72" s="261"/>
      <c r="E72" s="261"/>
      <c r="F72" s="261"/>
      <c r="G72" s="261"/>
      <c r="H72" s="261"/>
    </row>
    <row r="73" spans="2:8">
      <c r="B73" s="261" t="s">
        <v>208</v>
      </c>
      <c r="C73" s="261">
        <f>C71-C72</f>
        <v>36631</v>
      </c>
      <c r="D73" s="261"/>
      <c r="E73" s="261"/>
      <c r="F73" s="261"/>
      <c r="G73" s="261"/>
      <c r="H73" s="261"/>
    </row>
    <row r="74" spans="2:8">
      <c r="B74" s="261" t="s">
        <v>209</v>
      </c>
      <c r="C74" s="244">
        <f>C13</f>
        <v>1923.1274999999998</v>
      </c>
      <c r="D74" s="261"/>
      <c r="E74" s="261"/>
      <c r="F74" s="261"/>
      <c r="G74" s="261"/>
      <c r="H74" s="261"/>
    </row>
    <row r="75" spans="2:8">
      <c r="B75" s="261" t="s">
        <v>210</v>
      </c>
      <c r="C75" s="261">
        <f>C74*0.0942857</f>
        <v>181.32342252674999</v>
      </c>
      <c r="D75" s="261"/>
      <c r="E75" s="261"/>
      <c r="F75" s="261"/>
      <c r="G75" s="261"/>
      <c r="H75" s="261"/>
    </row>
    <row r="76" spans="2:8">
      <c r="B76" s="261" t="s">
        <v>211</v>
      </c>
      <c r="C76" s="243">
        <f>C74-C75</f>
        <v>1741.8040774732499</v>
      </c>
      <c r="D76" s="261"/>
      <c r="E76" s="261"/>
      <c r="F76" s="261"/>
      <c r="G76" s="261"/>
      <c r="H76" s="261"/>
    </row>
    <row r="78" spans="2:8">
      <c r="B78" s="261" t="s">
        <v>212</v>
      </c>
      <c r="C78" s="79">
        <f>MIN(2732.4,C73*0.0495)</f>
        <v>1813.2345</v>
      </c>
      <c r="D78" s="261"/>
      <c r="E78" s="261"/>
      <c r="F78" s="261"/>
      <c r="G78" s="261"/>
      <c r="H78" s="261"/>
    </row>
    <row r="79" spans="2:8">
      <c r="B79" s="261" t="s">
        <v>213</v>
      </c>
      <c r="C79" s="79">
        <f>MIN(165.6,C73*0.003)</f>
        <v>109.893</v>
      </c>
      <c r="D79" s="261"/>
      <c r="E79" s="261"/>
      <c r="F79" s="261"/>
      <c r="G79" s="261"/>
      <c r="H79" s="261"/>
    </row>
    <row r="80" spans="2:8">
      <c r="B80" s="261"/>
      <c r="C80" s="261">
        <f>C79+C78</f>
        <v>1923.1275000000001</v>
      </c>
      <c r="D80" s="261"/>
      <c r="E80" s="261"/>
      <c r="F80" s="261"/>
      <c r="G80" s="261"/>
      <c r="H80" s="261"/>
    </row>
  </sheetData>
  <mergeCells count="3">
    <mergeCell ref="K32:L32"/>
    <mergeCell ref="K47:L47"/>
    <mergeCell ref="G59:H59"/>
  </mergeCells>
  <hyperlinks>
    <hyperlink ref="K15" r:id="rId1" xr:uid="{F8EFBCFE-C29C-4DAE-9C7D-C50BD6F72728}"/>
    <hyperlink ref="K16" r:id="rId2" xr:uid="{2CC90457-FB95-4092-B8B9-8372A59501D3}"/>
    <hyperlink ref="K17" r:id="rId3" xr:uid="{CE1B9BFA-F512-46A2-A863-A75CCF12F4AA}"/>
    <hyperlink ref="K19" r:id="rId4" xr:uid="{F017D2D5-D296-47E1-AA00-B14AC290D4F9}"/>
    <hyperlink ref="B56" r:id="rId5" xr:uid="{EEF07E62-7840-3044-8D1E-D8467BB5C43A}"/>
    <hyperlink ref="L52" r:id="rId6" xr:uid="{9A458655-D16C-244F-AB81-677AA57B1716}"/>
  </hyperlinks>
  <pageMargins left="0.7" right="0.7" top="0.75" bottom="0.75" header="0.3" footer="0.3"/>
  <pageSetup orientation="portrait" horizontalDpi="0" verticalDpi="0" r:id="rId7"/>
  <legacy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B80EA-09EF-5B4D-A3E9-5EB22AEBBC43}">
  <dimension ref="A1:O45"/>
  <sheetViews>
    <sheetView workbookViewId="0">
      <selection activeCell="B25" sqref="B25"/>
    </sheetView>
  </sheetViews>
  <sheetFormatPr defaultColWidth="11.42578125" defaultRowHeight="15"/>
  <cols>
    <col min="1" max="1" width="24.28515625" customWidth="1"/>
    <col min="8" max="8" width="10.85546875" style="249"/>
  </cols>
  <sheetData>
    <row r="1" spans="1:15">
      <c r="A1" s="261" t="s">
        <v>214</v>
      </c>
      <c r="B1" s="261"/>
      <c r="C1" s="261"/>
      <c r="D1" s="261"/>
      <c r="E1" s="261"/>
      <c r="F1" s="261"/>
      <c r="G1" s="261"/>
      <c r="H1" s="261"/>
      <c r="I1" s="261"/>
      <c r="J1" s="261"/>
      <c r="K1" s="261"/>
      <c r="L1" s="261"/>
      <c r="M1" s="261"/>
      <c r="N1" s="261"/>
      <c r="O1" s="261"/>
    </row>
    <row r="2" spans="1:15">
      <c r="A2" s="261" t="s">
        <v>215</v>
      </c>
      <c r="B2" s="261"/>
      <c r="C2" s="261"/>
      <c r="D2" s="261"/>
      <c r="E2" s="261"/>
      <c r="F2" s="261"/>
      <c r="G2" s="261"/>
      <c r="H2" s="261"/>
      <c r="I2" s="261"/>
      <c r="J2" s="261"/>
      <c r="K2" s="261"/>
      <c r="L2" s="261"/>
      <c r="M2" s="261"/>
      <c r="N2" s="261"/>
      <c r="O2" s="261"/>
    </row>
    <row r="3" spans="1:15">
      <c r="A3" s="261" t="s">
        <v>216</v>
      </c>
      <c r="B3" s="261"/>
      <c r="C3" s="261"/>
      <c r="D3" s="261"/>
      <c r="E3" s="261"/>
      <c r="F3" s="261"/>
      <c r="G3" s="261"/>
      <c r="H3" s="261"/>
      <c r="I3" s="261"/>
      <c r="J3" s="261"/>
      <c r="K3" s="261"/>
      <c r="L3" s="261"/>
      <c r="M3" s="261"/>
      <c r="N3" s="261"/>
      <c r="O3" s="261"/>
    </row>
    <row r="4" spans="1:15">
      <c r="A4" s="261" t="s">
        <v>217</v>
      </c>
      <c r="B4" s="261"/>
      <c r="C4" s="261"/>
      <c r="D4" s="261"/>
      <c r="E4" s="261"/>
      <c r="F4" s="261"/>
      <c r="G4" s="261"/>
      <c r="H4" s="261"/>
      <c r="I4" s="261"/>
      <c r="J4" s="261"/>
      <c r="K4" s="261"/>
      <c r="L4" s="261"/>
      <c r="M4" s="261"/>
      <c r="N4" s="261"/>
      <c r="O4" s="261"/>
    </row>
    <row r="5" spans="1:15">
      <c r="A5" s="261" t="s">
        <v>218</v>
      </c>
      <c r="B5" s="261"/>
      <c r="C5" s="261"/>
      <c r="D5" s="261"/>
      <c r="E5" s="261"/>
      <c r="F5" s="261"/>
      <c r="G5" s="261"/>
      <c r="H5" s="261"/>
      <c r="I5" s="261"/>
      <c r="J5" s="261"/>
      <c r="K5" s="261"/>
      <c r="L5" s="261"/>
      <c r="M5" s="261"/>
      <c r="N5" s="261"/>
      <c r="O5" s="261"/>
    </row>
    <row r="6" spans="1:15">
      <c r="A6" s="261"/>
      <c r="B6" s="261"/>
      <c r="C6" s="261"/>
      <c r="D6" s="261"/>
      <c r="E6" s="261"/>
      <c r="F6" s="261"/>
      <c r="G6" s="261"/>
      <c r="H6" s="261"/>
      <c r="I6" s="261"/>
      <c r="J6" s="261"/>
      <c r="K6" s="261"/>
      <c r="L6" s="261"/>
      <c r="M6" s="261"/>
      <c r="N6" s="261"/>
      <c r="O6" s="261"/>
    </row>
    <row r="7" spans="1:15">
      <c r="A7" s="261"/>
      <c r="B7" s="261"/>
      <c r="C7" s="261"/>
      <c r="D7" s="261"/>
      <c r="E7" s="261"/>
      <c r="F7" s="261"/>
      <c r="G7" s="261"/>
      <c r="H7" s="261"/>
      <c r="I7" s="261"/>
      <c r="J7" s="261"/>
      <c r="K7" s="261"/>
      <c r="L7" s="261"/>
      <c r="M7" s="261"/>
      <c r="N7" s="261"/>
      <c r="O7" s="261"/>
    </row>
    <row r="8" spans="1:15">
      <c r="A8" s="261"/>
      <c r="B8" s="261"/>
      <c r="C8" s="261"/>
      <c r="D8" s="261"/>
      <c r="E8" s="261"/>
      <c r="F8" s="261"/>
      <c r="G8" s="261"/>
      <c r="H8" s="261"/>
      <c r="I8" s="261"/>
      <c r="J8" s="261"/>
      <c r="K8" s="261"/>
      <c r="L8" s="261"/>
      <c r="M8" s="261"/>
      <c r="N8" s="261"/>
      <c r="O8" s="261"/>
    </row>
    <row r="9" spans="1:15">
      <c r="A9" s="261"/>
      <c r="B9" s="261" t="s">
        <v>219</v>
      </c>
      <c r="C9" s="261"/>
      <c r="D9" s="261"/>
      <c r="E9" s="261"/>
      <c r="F9" s="261"/>
      <c r="G9" s="261"/>
      <c r="H9" s="261" t="s">
        <v>220</v>
      </c>
      <c r="I9" s="261" t="s">
        <v>221</v>
      </c>
      <c r="J9" s="261"/>
      <c r="K9" s="261"/>
      <c r="L9" s="261"/>
      <c r="M9" s="261"/>
      <c r="N9" s="261"/>
      <c r="O9" s="261"/>
    </row>
    <row r="10" spans="1:15">
      <c r="A10" s="261" t="s">
        <v>222</v>
      </c>
      <c r="B10" s="261">
        <v>2015</v>
      </c>
      <c r="C10" s="261">
        <v>2016</v>
      </c>
      <c r="D10" s="261">
        <v>2017</v>
      </c>
      <c r="E10" s="261">
        <v>2018</v>
      </c>
      <c r="F10" s="261">
        <v>2019</v>
      </c>
      <c r="G10" s="261">
        <v>2020</v>
      </c>
      <c r="H10" s="261">
        <v>2021</v>
      </c>
      <c r="I10" s="261">
        <v>2015</v>
      </c>
      <c r="J10" s="261">
        <v>2016</v>
      </c>
      <c r="K10" s="261">
        <v>2017</v>
      </c>
      <c r="L10" s="261">
        <v>2018</v>
      </c>
      <c r="M10" s="261">
        <v>2019</v>
      </c>
      <c r="N10" s="261">
        <v>2020</v>
      </c>
      <c r="O10" s="261"/>
    </row>
    <row r="11" spans="1:15">
      <c r="A11" s="261"/>
      <c r="B11" s="261" t="s">
        <v>223</v>
      </c>
      <c r="C11" s="261"/>
      <c r="D11" s="261"/>
      <c r="E11" s="261"/>
      <c r="F11" s="261"/>
      <c r="G11" s="261"/>
      <c r="H11" s="261"/>
      <c r="I11" s="261"/>
      <c r="J11" s="261"/>
      <c r="K11" s="261"/>
      <c r="L11" s="261"/>
      <c r="M11" s="261"/>
      <c r="N11" s="261"/>
      <c r="O11" s="261"/>
    </row>
    <row r="12" spans="1:15">
      <c r="A12" s="261" t="s">
        <v>224</v>
      </c>
      <c r="B12" s="261">
        <v>129.30000000000001</v>
      </c>
      <c r="C12" s="261">
        <v>130.9</v>
      </c>
      <c r="D12" s="261">
        <v>132.4</v>
      </c>
      <c r="E12" s="261">
        <v>135.30000000000001</v>
      </c>
      <c r="F12" s="261">
        <v>137.5</v>
      </c>
      <c r="G12" s="261">
        <v>137.9</v>
      </c>
      <c r="H12" s="251">
        <v>141.91666666666666</v>
      </c>
      <c r="I12" s="261">
        <v>128.19999999999999</v>
      </c>
      <c r="J12" s="261">
        <v>129.80000000000001</v>
      </c>
      <c r="K12" s="261">
        <v>131.19999999999999</v>
      </c>
      <c r="L12" s="261">
        <v>134</v>
      </c>
      <c r="M12" s="261">
        <v>136</v>
      </c>
      <c r="N12" s="261">
        <v>136.69999999999999</v>
      </c>
      <c r="O12" s="261"/>
    </row>
    <row r="13" spans="1:15">
      <c r="A13" s="261" t="s">
        <v>225</v>
      </c>
      <c r="B13" s="261">
        <v>147.80000000000001</v>
      </c>
      <c r="C13" s="261">
        <v>151.4</v>
      </c>
      <c r="D13" s="261">
        <v>148.4</v>
      </c>
      <c r="E13" s="261">
        <v>148.9</v>
      </c>
      <c r="F13" s="261">
        <v>153</v>
      </c>
      <c r="G13" s="261">
        <v>157.19999999999999</v>
      </c>
      <c r="H13" s="251">
        <v>158.98333333333332</v>
      </c>
      <c r="I13" s="261" t="s">
        <v>226</v>
      </c>
      <c r="J13" s="261" t="s">
        <v>226</v>
      </c>
      <c r="K13" s="261" t="s">
        <v>226</v>
      </c>
      <c r="L13" s="261" t="s">
        <v>226</v>
      </c>
      <c r="M13" s="261" t="s">
        <v>226</v>
      </c>
      <c r="N13" s="261" t="s">
        <v>226</v>
      </c>
      <c r="O13" s="261"/>
    </row>
    <row r="14" spans="1:15">
      <c r="A14" s="261" t="s">
        <v>227</v>
      </c>
      <c r="B14" s="261">
        <v>139.69999999999999</v>
      </c>
      <c r="C14" s="261">
        <v>139.4</v>
      </c>
      <c r="D14" s="261">
        <v>141.69999999999999</v>
      </c>
      <c r="E14" s="261">
        <v>146.1</v>
      </c>
      <c r="F14" s="261">
        <v>149.19999999999999</v>
      </c>
      <c r="G14" s="261">
        <v>150</v>
      </c>
      <c r="H14" s="261"/>
      <c r="I14" s="261">
        <v>134.6</v>
      </c>
      <c r="J14" s="261">
        <v>135</v>
      </c>
      <c r="K14" s="261">
        <v>136.80000000000001</v>
      </c>
      <c r="L14" s="261">
        <v>140.5</v>
      </c>
      <c r="M14" s="261">
        <v>143.19999999999999</v>
      </c>
      <c r="N14" s="261">
        <v>145</v>
      </c>
      <c r="O14" s="261"/>
    </row>
    <row r="15" spans="1:15">
      <c r="A15" s="261" t="s">
        <v>228</v>
      </c>
      <c r="B15" s="261">
        <v>114</v>
      </c>
      <c r="C15" s="261">
        <v>115.1</v>
      </c>
      <c r="D15" s="261">
        <v>115.7</v>
      </c>
      <c r="E15" s="261">
        <v>117</v>
      </c>
      <c r="F15" s="261">
        <v>117.9</v>
      </c>
      <c r="G15" s="261">
        <v>120.7</v>
      </c>
      <c r="H15" s="251">
        <v>123.78333333333336</v>
      </c>
      <c r="I15" s="261">
        <v>115.9</v>
      </c>
      <c r="J15" s="261">
        <v>117.2</v>
      </c>
      <c r="K15" s="261">
        <v>118</v>
      </c>
      <c r="L15" s="261">
        <v>119.5</v>
      </c>
      <c r="M15" s="261">
        <v>121</v>
      </c>
      <c r="N15" s="261">
        <v>125.1</v>
      </c>
      <c r="O15" s="261"/>
    </row>
    <row r="16" spans="1:15">
      <c r="A16" s="261" t="s">
        <v>229</v>
      </c>
      <c r="B16" s="261">
        <v>114.2</v>
      </c>
      <c r="C16" s="261">
        <v>115.2</v>
      </c>
      <c r="D16" s="261">
        <v>115.8</v>
      </c>
      <c r="E16" s="261">
        <v>117</v>
      </c>
      <c r="F16" s="261">
        <v>117.9</v>
      </c>
      <c r="G16" s="261">
        <v>120.7</v>
      </c>
      <c r="H16" s="261"/>
      <c r="I16" s="261" t="s">
        <v>226</v>
      </c>
      <c r="J16" s="261" t="s">
        <v>226</v>
      </c>
      <c r="K16" s="261" t="s">
        <v>226</v>
      </c>
      <c r="L16" s="261" t="s">
        <v>226</v>
      </c>
      <c r="M16" s="261" t="s">
        <v>226</v>
      </c>
      <c r="N16" s="261" t="s">
        <v>226</v>
      </c>
      <c r="O16" s="261"/>
    </row>
    <row r="17" spans="1:15">
      <c r="A17" s="261" t="s">
        <v>230</v>
      </c>
      <c r="B17" s="261">
        <v>100</v>
      </c>
      <c r="C17" s="261">
        <v>96.3</v>
      </c>
      <c r="D17" s="261">
        <v>96.7</v>
      </c>
      <c r="E17" s="261">
        <v>99.6</v>
      </c>
      <c r="F17" s="261">
        <v>100.2</v>
      </c>
      <c r="G17" s="261">
        <v>98.9</v>
      </c>
      <c r="H17" s="251">
        <v>97.166666666666671</v>
      </c>
      <c r="I17" s="261" t="s">
        <v>226</v>
      </c>
      <c r="J17" s="261" t="s">
        <v>226</v>
      </c>
      <c r="K17" s="261" t="s">
        <v>226</v>
      </c>
      <c r="L17" s="261" t="s">
        <v>226</v>
      </c>
      <c r="M17" s="261" t="s">
        <v>226</v>
      </c>
      <c r="N17" s="261" t="s">
        <v>226</v>
      </c>
      <c r="O17" s="261"/>
    </row>
    <row r="18" spans="1:15">
      <c r="A18" s="261" t="s">
        <v>231</v>
      </c>
      <c r="B18" s="261">
        <v>138</v>
      </c>
      <c r="C18" s="261">
        <v>135.80000000000001</v>
      </c>
      <c r="D18" s="261">
        <v>141.30000000000001</v>
      </c>
      <c r="E18" s="261">
        <v>149.69999999999999</v>
      </c>
      <c r="F18" s="261">
        <v>151.69999999999999</v>
      </c>
      <c r="G18" s="261">
        <v>144.9</v>
      </c>
      <c r="H18" s="251">
        <f>AVERAGE(H12:H17)</f>
        <v>130.46250000000001</v>
      </c>
      <c r="I18" s="261" t="s">
        <v>226</v>
      </c>
      <c r="J18" s="261" t="s">
        <v>226</v>
      </c>
      <c r="K18" s="261" t="s">
        <v>226</v>
      </c>
      <c r="L18" s="261" t="s">
        <v>226</v>
      </c>
      <c r="M18" s="261" t="s">
        <v>226</v>
      </c>
      <c r="N18" s="261" t="s">
        <v>226</v>
      </c>
      <c r="O18" s="261"/>
    </row>
    <row r="19" spans="1:15">
      <c r="A19" s="261" t="s">
        <v>232</v>
      </c>
      <c r="B19" s="261">
        <v>109.7</v>
      </c>
      <c r="C19" s="261">
        <v>113.7</v>
      </c>
      <c r="D19" s="261">
        <v>115</v>
      </c>
      <c r="E19" s="261">
        <v>117.6</v>
      </c>
      <c r="F19" s="261">
        <v>122.3</v>
      </c>
      <c r="G19" s="261">
        <v>126.1</v>
      </c>
      <c r="H19" s="261"/>
      <c r="I19" s="261" t="s">
        <v>226</v>
      </c>
      <c r="J19" s="261" t="s">
        <v>226</v>
      </c>
      <c r="K19" s="261" t="s">
        <v>226</v>
      </c>
      <c r="L19" s="261" t="s">
        <v>226</v>
      </c>
      <c r="M19" s="261" t="s">
        <v>226</v>
      </c>
      <c r="N19" s="261" t="s">
        <v>226</v>
      </c>
      <c r="O19" s="261"/>
    </row>
    <row r="20" spans="1:15">
      <c r="A20" s="261" t="s">
        <v>233</v>
      </c>
      <c r="B20" s="261">
        <v>157.4</v>
      </c>
      <c r="C20" s="261">
        <v>147.9</v>
      </c>
      <c r="D20" s="261">
        <v>157.5</v>
      </c>
      <c r="E20" s="261">
        <v>170.5</v>
      </c>
      <c r="F20" s="261">
        <v>168.4</v>
      </c>
      <c r="G20" s="261">
        <v>148</v>
      </c>
      <c r="H20" s="261"/>
      <c r="I20" s="261" t="s">
        <v>226</v>
      </c>
      <c r="J20" s="261" t="s">
        <v>226</v>
      </c>
      <c r="K20" s="261" t="s">
        <v>226</v>
      </c>
      <c r="L20" s="261" t="s">
        <v>226</v>
      </c>
      <c r="M20" s="261" t="s">
        <v>226</v>
      </c>
      <c r="N20" s="261" t="s">
        <v>226</v>
      </c>
      <c r="O20" s="261"/>
    </row>
    <row r="21" spans="1:15">
      <c r="A21" s="261"/>
      <c r="B21" s="261"/>
      <c r="C21" s="261"/>
      <c r="D21" s="261"/>
      <c r="E21" s="261"/>
      <c r="F21" s="261"/>
      <c r="G21" s="261"/>
      <c r="H21" s="261"/>
      <c r="I21" s="261"/>
      <c r="J21" s="261"/>
      <c r="K21" s="261"/>
      <c r="L21" s="261"/>
      <c r="M21" s="261"/>
      <c r="N21" s="261"/>
      <c r="O21" s="261"/>
    </row>
    <row r="22" spans="1:15">
      <c r="A22" s="261" t="s">
        <v>234</v>
      </c>
      <c r="B22" s="261"/>
      <c r="C22" s="261"/>
      <c r="D22" s="261"/>
      <c r="E22" s="261"/>
      <c r="F22" s="261"/>
      <c r="G22" s="261"/>
      <c r="H22" s="261"/>
      <c r="I22" s="261"/>
      <c r="J22" s="261"/>
      <c r="K22" s="261"/>
      <c r="L22" s="261"/>
      <c r="M22" s="261"/>
      <c r="N22" s="261"/>
      <c r="O22" s="261"/>
    </row>
    <row r="23" spans="1:15">
      <c r="A23" s="261" t="s">
        <v>226</v>
      </c>
      <c r="B23" s="261" t="s">
        <v>235</v>
      </c>
      <c r="C23" s="261"/>
      <c r="D23" s="261"/>
      <c r="E23" s="261"/>
      <c r="F23" s="261"/>
      <c r="G23" s="261"/>
      <c r="H23" s="261"/>
      <c r="I23" s="261"/>
      <c r="J23" s="261"/>
      <c r="K23" s="261"/>
      <c r="L23" s="261"/>
      <c r="M23" s="261"/>
      <c r="N23" s="261"/>
      <c r="O23" s="261"/>
    </row>
    <row r="24" spans="1:15">
      <c r="A24" s="261"/>
      <c r="B24" s="261"/>
      <c r="C24" s="261"/>
      <c r="D24" s="261"/>
      <c r="E24" s="261"/>
      <c r="F24" s="261"/>
      <c r="G24" s="261"/>
      <c r="H24" s="261"/>
      <c r="I24" s="261"/>
      <c r="J24" s="261"/>
      <c r="K24" s="261"/>
      <c r="L24" s="261"/>
      <c r="M24" s="261"/>
      <c r="N24" s="261"/>
      <c r="O24" s="261"/>
    </row>
    <row r="25" spans="1:15">
      <c r="A25" s="261"/>
      <c r="B25" s="261"/>
      <c r="C25" s="261"/>
      <c r="D25" s="261"/>
      <c r="E25" s="261"/>
      <c r="F25" s="261"/>
      <c r="G25" s="261"/>
      <c r="H25" s="261"/>
      <c r="I25" s="261"/>
      <c r="J25" s="261"/>
      <c r="K25" s="261"/>
      <c r="L25" s="261"/>
      <c r="M25" s="261"/>
      <c r="N25" s="261"/>
      <c r="O25" s="261"/>
    </row>
    <row r="26" spans="1:15">
      <c r="A26" s="261"/>
      <c r="B26" s="261"/>
      <c r="C26" s="261"/>
      <c r="D26" s="261"/>
      <c r="E26" s="261"/>
      <c r="F26" s="261"/>
      <c r="G26" s="261"/>
      <c r="H26" s="261"/>
      <c r="I26" s="261"/>
      <c r="J26" s="261"/>
      <c r="K26" s="261"/>
      <c r="L26" s="261"/>
      <c r="M26" s="261"/>
      <c r="N26" s="261"/>
      <c r="O26" s="261"/>
    </row>
    <row r="27" spans="1:15">
      <c r="A27" s="261" t="s">
        <v>236</v>
      </c>
      <c r="B27" s="261"/>
      <c r="C27" s="261"/>
      <c r="D27" s="261"/>
      <c r="E27" s="261"/>
      <c r="F27" s="261"/>
      <c r="G27" s="261"/>
      <c r="H27" s="261"/>
      <c r="I27" s="261"/>
      <c r="J27" s="261"/>
      <c r="K27" s="261"/>
      <c r="L27" s="261"/>
      <c r="M27" s="261"/>
      <c r="N27" s="261"/>
      <c r="O27" s="261"/>
    </row>
    <row r="28" spans="1:15">
      <c r="A28" s="261">
        <v>1</v>
      </c>
      <c r="B28" s="261" t="s">
        <v>237</v>
      </c>
      <c r="C28" s="261"/>
      <c r="D28" s="261"/>
      <c r="E28" s="261"/>
      <c r="F28" s="261"/>
      <c r="G28" s="261"/>
      <c r="H28" s="261"/>
      <c r="I28" s="261"/>
      <c r="J28" s="261"/>
      <c r="K28" s="261"/>
      <c r="L28" s="261"/>
      <c r="M28" s="261"/>
      <c r="N28" s="261"/>
      <c r="O28" s="261"/>
    </row>
    <row r="29" spans="1:15">
      <c r="A29" s="261">
        <v>2</v>
      </c>
      <c r="B29" s="261" t="s">
        <v>238</v>
      </c>
      <c r="C29" s="261"/>
      <c r="D29" s="261"/>
      <c r="E29" s="261"/>
      <c r="F29" s="261"/>
      <c r="G29" s="261"/>
      <c r="H29" s="261"/>
      <c r="I29" s="261"/>
      <c r="J29" s="261"/>
      <c r="K29" s="261"/>
      <c r="L29" s="261"/>
      <c r="M29" s="261"/>
      <c r="N29" s="261"/>
      <c r="O29" s="261"/>
    </row>
    <row r="30" spans="1:15">
      <c r="A30" s="261">
        <v>3</v>
      </c>
      <c r="B30" s="261" t="s">
        <v>239</v>
      </c>
      <c r="C30" s="261" t="s">
        <v>240</v>
      </c>
      <c r="D30" s="261"/>
      <c r="E30" s="261"/>
      <c r="F30" s="261"/>
      <c r="G30" s="261"/>
      <c r="H30" s="261"/>
      <c r="I30" s="261"/>
      <c r="J30" s="261"/>
      <c r="K30" s="261"/>
      <c r="L30" s="261"/>
      <c r="M30" s="261"/>
      <c r="N30" s="261"/>
      <c r="O30" s="261"/>
    </row>
    <row r="31" spans="1:15">
      <c r="A31" s="261">
        <v>4</v>
      </c>
      <c r="B31" s="261" t="s">
        <v>241</v>
      </c>
      <c r="C31" s="261" t="s">
        <v>242</v>
      </c>
      <c r="D31" s="261" t="s">
        <v>243</v>
      </c>
      <c r="E31" s="261" t="s">
        <v>244</v>
      </c>
      <c r="F31" s="261" t="s">
        <v>245</v>
      </c>
      <c r="G31" s="261" t="s">
        <v>246</v>
      </c>
      <c r="H31" s="261"/>
      <c r="I31" s="261" t="s">
        <v>247</v>
      </c>
      <c r="J31" s="261" t="s">
        <v>248</v>
      </c>
      <c r="K31" s="261" t="s">
        <v>249</v>
      </c>
      <c r="L31" s="261" t="s">
        <v>250</v>
      </c>
      <c r="M31" s="261" t="s">
        <v>251</v>
      </c>
      <c r="N31" s="261" t="s">
        <v>252</v>
      </c>
      <c r="O31" s="261" t="s">
        <v>253</v>
      </c>
    </row>
    <row r="32" spans="1:15">
      <c r="A32" s="261">
        <v>5</v>
      </c>
      <c r="B32" s="261" t="s">
        <v>254</v>
      </c>
      <c r="C32" s="261"/>
      <c r="D32" s="261"/>
      <c r="E32" s="261"/>
      <c r="F32" s="261"/>
      <c r="G32" s="261"/>
      <c r="H32" s="261"/>
      <c r="I32" s="261"/>
      <c r="J32" s="261"/>
      <c r="K32" s="261"/>
      <c r="L32" s="261"/>
      <c r="M32" s="261"/>
      <c r="N32" s="261"/>
      <c r="O32" s="261"/>
    </row>
    <row r="33" spans="1:15">
      <c r="A33" s="261">
        <v>6</v>
      </c>
      <c r="B33" s="261" t="s">
        <v>255</v>
      </c>
      <c r="C33" s="261"/>
      <c r="D33" s="261"/>
      <c r="E33" s="261"/>
      <c r="F33" s="261"/>
      <c r="G33" s="261"/>
      <c r="H33" s="261"/>
      <c r="I33" s="261"/>
      <c r="J33" s="261"/>
      <c r="K33" s="261"/>
      <c r="L33" s="261"/>
      <c r="M33" s="261"/>
      <c r="N33" s="261"/>
      <c r="O33" s="261"/>
    </row>
    <row r="34" spans="1:15">
      <c r="A34" s="261">
        <v>7</v>
      </c>
      <c r="B34" s="261" t="s">
        <v>256</v>
      </c>
      <c r="C34" s="261"/>
      <c r="D34" s="261"/>
      <c r="E34" s="261"/>
      <c r="F34" s="261"/>
      <c r="G34" s="261"/>
      <c r="H34" s="261"/>
      <c r="I34" s="261"/>
      <c r="J34" s="261"/>
      <c r="K34" s="261"/>
      <c r="L34" s="261"/>
      <c r="M34" s="261"/>
      <c r="N34" s="261"/>
      <c r="O34" s="261"/>
    </row>
    <row r="35" spans="1:15">
      <c r="A35" s="261">
        <v>8</v>
      </c>
      <c r="B35" s="261" t="s">
        <v>257</v>
      </c>
      <c r="C35" s="261"/>
      <c r="D35" s="261"/>
      <c r="E35" s="261"/>
      <c r="F35" s="261"/>
      <c r="G35" s="261"/>
      <c r="H35" s="261"/>
      <c r="I35" s="261"/>
      <c r="J35" s="261"/>
      <c r="K35" s="261"/>
      <c r="L35" s="261"/>
      <c r="M35" s="261"/>
      <c r="N35" s="261"/>
      <c r="O35" s="261"/>
    </row>
    <row r="36" spans="1:15">
      <c r="A36" s="261">
        <v>9</v>
      </c>
      <c r="B36" s="261" t="s">
        <v>258</v>
      </c>
      <c r="C36" s="261" t="s">
        <v>259</v>
      </c>
      <c r="D36" s="261" t="s">
        <v>260</v>
      </c>
      <c r="E36" s="261" t="s">
        <v>261</v>
      </c>
      <c r="F36" s="261" t="s">
        <v>262</v>
      </c>
      <c r="G36" s="261" t="s">
        <v>263</v>
      </c>
      <c r="H36" s="261"/>
      <c r="I36" s="261"/>
      <c r="J36" s="261"/>
      <c r="K36" s="261"/>
      <c r="L36" s="261"/>
      <c r="M36" s="261"/>
      <c r="N36" s="261"/>
      <c r="O36" s="261"/>
    </row>
    <row r="37" spans="1:15">
      <c r="A37" s="261"/>
      <c r="B37" s="261"/>
      <c r="C37" s="261"/>
      <c r="D37" s="261"/>
      <c r="E37" s="261"/>
      <c r="F37" s="261"/>
      <c r="G37" s="261"/>
      <c r="H37" s="261"/>
      <c r="I37" s="261"/>
      <c r="J37" s="261"/>
      <c r="K37" s="261"/>
      <c r="L37" s="261"/>
      <c r="M37" s="261"/>
      <c r="N37" s="261"/>
      <c r="O37" s="261"/>
    </row>
    <row r="38" spans="1:15">
      <c r="A38" s="261"/>
      <c r="B38" s="261"/>
      <c r="C38" s="261"/>
      <c r="D38" s="261"/>
      <c r="E38" s="261"/>
      <c r="F38" s="261"/>
      <c r="G38" s="261"/>
      <c r="H38" s="261"/>
      <c r="I38" s="261"/>
      <c r="J38" s="261"/>
      <c r="K38" s="261"/>
      <c r="L38" s="261"/>
      <c r="M38" s="261"/>
      <c r="N38" s="261"/>
      <c r="O38" s="261"/>
    </row>
    <row r="39" spans="1:15">
      <c r="A39" s="261"/>
      <c r="B39" s="261"/>
      <c r="C39" s="261"/>
      <c r="D39" s="261"/>
      <c r="E39" s="261"/>
      <c r="F39" s="261"/>
      <c r="G39" s="261"/>
      <c r="H39" s="261"/>
      <c r="I39" s="261"/>
      <c r="J39" s="261"/>
      <c r="K39" s="261"/>
      <c r="L39" s="261"/>
      <c r="M39" s="261"/>
      <c r="N39" s="261"/>
      <c r="O39" s="261"/>
    </row>
    <row r="40" spans="1:15">
      <c r="A40" s="261" t="s">
        <v>264</v>
      </c>
      <c r="B40" s="261"/>
      <c r="C40" s="261"/>
      <c r="D40" s="261"/>
      <c r="E40" s="261"/>
      <c r="F40" s="261"/>
      <c r="G40" s="261"/>
      <c r="H40" s="261"/>
      <c r="I40" s="261"/>
      <c r="J40" s="261"/>
      <c r="K40" s="261"/>
      <c r="L40" s="261"/>
      <c r="M40" s="261"/>
      <c r="N40" s="261"/>
      <c r="O40" s="261"/>
    </row>
    <row r="41" spans="1:15">
      <c r="A41" s="261" t="s">
        <v>265</v>
      </c>
      <c r="B41" s="261"/>
      <c r="C41" s="261"/>
      <c r="D41" s="261"/>
      <c r="E41" s="261"/>
      <c r="F41" s="261"/>
      <c r="G41" s="261"/>
      <c r="H41" s="261"/>
      <c r="I41" s="261"/>
      <c r="J41" s="261"/>
      <c r="K41" s="261"/>
      <c r="L41" s="261"/>
      <c r="M41" s="261"/>
      <c r="N41" s="261"/>
      <c r="O41" s="261"/>
    </row>
    <row r="42" spans="1:15">
      <c r="A42" s="261"/>
      <c r="B42" s="261"/>
      <c r="C42" s="261"/>
      <c r="D42" s="261"/>
      <c r="E42" s="261"/>
      <c r="F42" s="261"/>
      <c r="G42" s="261"/>
      <c r="H42" s="261"/>
      <c r="I42" s="261"/>
      <c r="J42" s="261"/>
      <c r="K42" s="261"/>
      <c r="L42" s="261"/>
      <c r="M42" s="261"/>
      <c r="N42" s="261"/>
      <c r="O42" s="261"/>
    </row>
    <row r="43" spans="1:15">
      <c r="A43" s="261"/>
      <c r="B43" s="261"/>
      <c r="C43" s="261"/>
      <c r="D43" s="261"/>
      <c r="E43" s="261"/>
      <c r="F43" s="261"/>
      <c r="G43" s="261"/>
      <c r="H43" s="261"/>
      <c r="I43" s="261"/>
      <c r="J43" s="261"/>
      <c r="K43" s="261"/>
      <c r="L43" s="261"/>
      <c r="M43" s="261"/>
      <c r="N43" s="261"/>
      <c r="O43" s="261"/>
    </row>
    <row r="44" spans="1:15">
      <c r="A44" s="261"/>
      <c r="B44" s="261"/>
      <c r="C44" s="261"/>
      <c r="D44" s="261"/>
      <c r="E44" s="261"/>
      <c r="F44" s="261"/>
      <c r="G44" s="261"/>
      <c r="H44" s="261"/>
      <c r="I44" s="261"/>
      <c r="J44" s="261"/>
      <c r="K44" s="261"/>
      <c r="L44" s="261"/>
      <c r="M44" s="261"/>
      <c r="N44" s="261"/>
      <c r="O44" s="261"/>
    </row>
    <row r="45" spans="1:15">
      <c r="A45" s="261"/>
      <c r="B45" s="261"/>
      <c r="C45" s="261"/>
      <c r="D45" s="261"/>
      <c r="E45" s="261"/>
      <c r="F45" s="261"/>
      <c r="G45" s="261"/>
      <c r="H45" s="261"/>
      <c r="I45" s="261"/>
      <c r="J45" s="261"/>
      <c r="K45" s="261"/>
      <c r="L45" s="261"/>
      <c r="M45" s="261"/>
      <c r="N45" s="261"/>
      <c r="O45" s="26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05535-8A5B-A54E-8829-4BF45A90DD40}">
  <dimension ref="A1:I41"/>
  <sheetViews>
    <sheetView tabSelected="1" workbookViewId="0">
      <selection activeCell="H14" sqref="H14"/>
    </sheetView>
  </sheetViews>
  <sheetFormatPr defaultColWidth="11.42578125" defaultRowHeight="15"/>
  <cols>
    <col min="1" max="1" width="32.140625" customWidth="1"/>
  </cols>
  <sheetData>
    <row r="1" spans="1:9">
      <c r="A1" s="261" t="s">
        <v>266</v>
      </c>
      <c r="B1" s="261"/>
      <c r="C1" s="261"/>
      <c r="D1" s="261"/>
      <c r="E1" s="261"/>
      <c r="F1" s="261"/>
      <c r="G1" s="261"/>
      <c r="H1" s="261"/>
      <c r="I1" s="261"/>
    </row>
    <row r="2" spans="1:9">
      <c r="A2" s="261" t="s">
        <v>215</v>
      </c>
      <c r="B2" s="261"/>
      <c r="C2" s="261"/>
      <c r="D2" s="261"/>
      <c r="E2" s="261"/>
      <c r="F2" s="261"/>
      <c r="G2" s="261"/>
      <c r="H2" s="261"/>
      <c r="I2" s="261"/>
    </row>
    <row r="3" spans="1:9">
      <c r="A3" s="261" t="s">
        <v>267</v>
      </c>
      <c r="B3" s="261"/>
      <c r="C3" s="261"/>
      <c r="D3" s="261"/>
      <c r="E3" s="261"/>
      <c r="F3" s="261"/>
      <c r="G3" s="261"/>
      <c r="H3" s="261"/>
      <c r="I3" s="261"/>
    </row>
    <row r="4" spans="1:9">
      <c r="A4" s="261" t="s">
        <v>268</v>
      </c>
      <c r="B4" s="261"/>
      <c r="C4" s="261"/>
      <c r="D4" s="261"/>
      <c r="E4" s="261"/>
      <c r="F4" s="261"/>
      <c r="G4" s="261"/>
      <c r="H4" s="261"/>
      <c r="I4" s="261"/>
    </row>
    <row r="5" spans="1:9">
      <c r="A5" s="261" t="s">
        <v>269</v>
      </c>
      <c r="B5" s="261"/>
      <c r="C5" s="261"/>
      <c r="D5" s="261"/>
      <c r="E5" s="261"/>
      <c r="F5" s="261"/>
      <c r="G5" s="261"/>
      <c r="H5" s="261"/>
      <c r="I5" s="261"/>
    </row>
    <row r="6" spans="1:9">
      <c r="A6" s="261"/>
      <c r="B6" s="261"/>
      <c r="C6" s="261"/>
      <c r="D6" s="261"/>
      <c r="E6" s="261"/>
      <c r="F6" s="261"/>
      <c r="G6" s="261"/>
      <c r="H6" s="261"/>
      <c r="I6" s="261"/>
    </row>
    <row r="7" spans="1:9">
      <c r="A7" s="261"/>
      <c r="B7" s="261"/>
      <c r="C7" s="261"/>
      <c r="D7" s="261"/>
      <c r="E7" s="261"/>
      <c r="F7" s="261"/>
      <c r="G7" s="261"/>
      <c r="H7" s="261"/>
      <c r="I7" s="261"/>
    </row>
    <row r="8" spans="1:9">
      <c r="A8" s="261"/>
      <c r="B8" s="261"/>
      <c r="C8" s="261"/>
      <c r="D8" s="261"/>
      <c r="E8" s="261"/>
      <c r="F8" s="261"/>
      <c r="G8" s="261"/>
      <c r="H8" s="261"/>
      <c r="I8" s="261"/>
    </row>
    <row r="9" spans="1:9">
      <c r="A9" s="261"/>
      <c r="B9" s="261" t="s">
        <v>270</v>
      </c>
      <c r="C9" s="261"/>
      <c r="D9" s="261"/>
      <c r="E9" s="261"/>
      <c r="F9" s="261"/>
      <c r="G9" s="261"/>
      <c r="H9" s="261"/>
      <c r="I9" s="261"/>
    </row>
    <row r="10" spans="1:9" ht="63.95">
      <c r="A10" s="261"/>
      <c r="B10" s="250" t="s">
        <v>271</v>
      </c>
      <c r="C10" s="261"/>
      <c r="D10" s="261"/>
      <c r="E10" s="261"/>
      <c r="F10" s="261"/>
      <c r="G10" s="261"/>
      <c r="H10" s="261"/>
      <c r="I10" s="261"/>
    </row>
    <row r="11" spans="1:9">
      <c r="A11" s="261"/>
      <c r="B11" s="261" t="s">
        <v>272</v>
      </c>
      <c r="C11" s="261" t="s">
        <v>6</v>
      </c>
      <c r="D11" s="261" t="s">
        <v>273</v>
      </c>
      <c r="E11" s="261" t="s">
        <v>9</v>
      </c>
      <c r="F11" s="261" t="s">
        <v>8</v>
      </c>
      <c r="G11" s="261" t="s">
        <v>274</v>
      </c>
      <c r="H11" s="261"/>
      <c r="I11" s="261"/>
    </row>
    <row r="12" spans="1:9">
      <c r="A12" s="261" t="s">
        <v>275</v>
      </c>
      <c r="B12" s="261">
        <v>2019</v>
      </c>
      <c r="C12" s="261">
        <v>2019</v>
      </c>
      <c r="D12" s="261">
        <v>2019</v>
      </c>
      <c r="E12" s="261">
        <v>2019</v>
      </c>
      <c r="F12" s="261">
        <v>2019</v>
      </c>
      <c r="G12" s="261">
        <v>2019</v>
      </c>
      <c r="H12" s="261"/>
      <c r="I12" s="261"/>
    </row>
    <row r="13" spans="1:9">
      <c r="A13" s="261" t="s">
        <v>276</v>
      </c>
      <c r="B13" s="32">
        <v>42460</v>
      </c>
      <c r="C13" s="32">
        <v>12939</v>
      </c>
      <c r="D13" s="32">
        <v>2221</v>
      </c>
      <c r="E13" s="32">
        <v>4879</v>
      </c>
      <c r="F13" s="32">
        <v>10002</v>
      </c>
      <c r="G13" s="32">
        <v>12420</v>
      </c>
      <c r="H13" s="261">
        <f>B13*(CPI!H12/CPI!F12)</f>
        <v>43823.866666666661</v>
      </c>
      <c r="I13" s="261"/>
    </row>
    <row r="14" spans="1:9">
      <c r="A14" s="261" t="s">
        <v>277</v>
      </c>
      <c r="B14" s="32">
        <v>43380</v>
      </c>
      <c r="C14" s="32">
        <v>12939</v>
      </c>
      <c r="D14" s="32">
        <v>2221</v>
      </c>
      <c r="E14" s="32">
        <v>4879</v>
      </c>
      <c r="F14" s="32">
        <v>10922</v>
      </c>
      <c r="G14" s="32">
        <v>12420</v>
      </c>
      <c r="H14" s="261"/>
      <c r="I14" s="261"/>
    </row>
    <row r="15" spans="1:9">
      <c r="A15" s="261" t="s">
        <v>278</v>
      </c>
      <c r="B15" s="32">
        <v>43705</v>
      </c>
      <c r="C15" s="32">
        <v>12939</v>
      </c>
      <c r="D15" s="32">
        <v>2221</v>
      </c>
      <c r="E15" s="32">
        <v>4422</v>
      </c>
      <c r="F15" s="32">
        <v>11704</v>
      </c>
      <c r="G15" s="32">
        <v>12420</v>
      </c>
      <c r="H15" s="261"/>
      <c r="I15" s="261"/>
    </row>
    <row r="16" spans="1:9">
      <c r="A16" s="261" t="s">
        <v>279</v>
      </c>
      <c r="B16" s="32">
        <v>46147</v>
      </c>
      <c r="C16" s="32">
        <v>12395</v>
      </c>
      <c r="D16" s="32">
        <v>2221</v>
      </c>
      <c r="E16" s="32">
        <v>3954</v>
      </c>
      <c r="F16" s="32">
        <v>15561</v>
      </c>
      <c r="G16" s="32">
        <v>12016</v>
      </c>
      <c r="H16" s="261"/>
      <c r="I16" s="261"/>
    </row>
    <row r="17" spans="1:9">
      <c r="A17" s="261"/>
      <c r="B17" s="261"/>
      <c r="C17" s="261"/>
      <c r="D17" s="261"/>
      <c r="E17" s="261"/>
      <c r="F17" s="261"/>
      <c r="G17" s="261"/>
      <c r="H17" s="261"/>
      <c r="I17" s="261"/>
    </row>
    <row r="18" spans="1:9">
      <c r="A18" s="261" t="s">
        <v>236</v>
      </c>
      <c r="B18" s="261"/>
      <c r="C18" s="261"/>
      <c r="D18" s="261"/>
      <c r="E18" s="261"/>
      <c r="F18" s="261"/>
      <c r="G18" s="261"/>
      <c r="H18" s="261"/>
      <c r="I18" s="261"/>
    </row>
    <row r="19" spans="1:9" ht="144">
      <c r="A19" s="261">
        <v>1</v>
      </c>
      <c r="B19" s="250" t="s">
        <v>280</v>
      </c>
      <c r="C19" s="261"/>
      <c r="D19" s="261"/>
      <c r="E19" s="261"/>
      <c r="F19" s="261"/>
      <c r="G19" s="261"/>
      <c r="H19" s="261"/>
      <c r="I19" s="261"/>
    </row>
    <row r="20" spans="1:9">
      <c r="A20" s="261">
        <v>2</v>
      </c>
      <c r="B20" s="261" t="s">
        <v>281</v>
      </c>
      <c r="C20" s="261"/>
      <c r="D20" s="261"/>
      <c r="E20" s="261"/>
      <c r="F20" s="261"/>
      <c r="G20" s="261"/>
      <c r="H20" s="261"/>
      <c r="I20" s="261"/>
    </row>
    <row r="21" spans="1:9">
      <c r="A21" s="261">
        <v>3</v>
      </c>
      <c r="B21" s="261" t="s">
        <v>282</v>
      </c>
      <c r="C21" s="261"/>
      <c r="D21" s="261"/>
      <c r="E21" s="261"/>
      <c r="F21" s="261"/>
      <c r="G21" s="261"/>
      <c r="H21" s="261"/>
      <c r="I21" s="261"/>
    </row>
    <row r="22" spans="1:9">
      <c r="A22" s="261">
        <v>4</v>
      </c>
      <c r="B22" s="261" t="s">
        <v>283</v>
      </c>
      <c r="C22" s="261"/>
      <c r="D22" s="261"/>
      <c r="E22" s="261"/>
      <c r="F22" s="261"/>
      <c r="G22" s="261"/>
      <c r="H22" s="261"/>
      <c r="I22" s="261"/>
    </row>
    <row r="23" spans="1:9">
      <c r="A23" s="261"/>
      <c r="B23" s="261"/>
      <c r="C23" s="261"/>
      <c r="D23" s="261"/>
      <c r="E23" s="261"/>
      <c r="F23" s="261"/>
      <c r="G23" s="261"/>
      <c r="H23" s="261"/>
      <c r="I23" s="261"/>
    </row>
    <row r="24" spans="1:9">
      <c r="A24" s="261"/>
      <c r="B24" s="261"/>
      <c r="C24" s="261"/>
      <c r="D24" s="261"/>
      <c r="E24" s="261"/>
      <c r="F24" s="261"/>
      <c r="G24" s="261"/>
      <c r="H24" s="261"/>
      <c r="I24" s="261"/>
    </row>
    <row r="25" spans="1:9">
      <c r="A25" s="261"/>
      <c r="B25" s="261"/>
      <c r="C25" s="261"/>
      <c r="D25" s="261"/>
      <c r="E25" s="261"/>
      <c r="F25" s="261"/>
      <c r="G25" s="261"/>
      <c r="H25" s="261"/>
      <c r="I25" s="261"/>
    </row>
    <row r="26" spans="1:9">
      <c r="A26" s="261" t="s">
        <v>284</v>
      </c>
      <c r="B26" s="261"/>
      <c r="C26" s="261"/>
      <c r="D26" s="261"/>
      <c r="E26" s="261"/>
      <c r="F26" s="261"/>
      <c r="G26" s="261"/>
      <c r="H26" s="261"/>
      <c r="I26" s="261"/>
    </row>
    <row r="27" spans="1:9">
      <c r="A27" s="261" t="s">
        <v>285</v>
      </c>
      <c r="B27" s="261"/>
      <c r="C27" s="261"/>
      <c r="D27" s="261"/>
      <c r="E27" s="261"/>
      <c r="F27" s="261"/>
      <c r="G27" s="261"/>
      <c r="H27" s="261"/>
      <c r="I27" s="261"/>
    </row>
    <row r="28" spans="1:9">
      <c r="A28" s="261"/>
      <c r="B28" s="261"/>
      <c r="C28" s="261"/>
      <c r="D28" s="261"/>
      <c r="E28" s="261"/>
      <c r="F28" s="261"/>
      <c r="G28" s="261"/>
      <c r="H28" s="261"/>
      <c r="I28" s="261"/>
    </row>
    <row r="29" spans="1:9">
      <c r="A29" s="261"/>
      <c r="B29" s="261"/>
      <c r="C29" s="261"/>
      <c r="D29" s="261"/>
      <c r="E29" s="261"/>
      <c r="F29" s="261"/>
      <c r="G29" s="261"/>
      <c r="H29" s="261"/>
      <c r="I29" s="261"/>
    </row>
    <row r="30" spans="1:9">
      <c r="A30" s="261"/>
      <c r="B30" s="261"/>
      <c r="C30" s="261"/>
      <c r="D30" s="261"/>
      <c r="E30" s="261"/>
      <c r="F30" s="261"/>
      <c r="G30" s="261"/>
      <c r="H30" s="261"/>
      <c r="I30" s="261"/>
    </row>
    <row r="31" spans="1:9">
      <c r="A31" s="261"/>
      <c r="B31" s="261"/>
      <c r="C31" s="261"/>
      <c r="D31" s="261"/>
      <c r="E31" s="261"/>
      <c r="F31" s="261"/>
      <c r="G31" s="261"/>
      <c r="H31" s="261"/>
      <c r="I31" s="261"/>
    </row>
    <row r="32" spans="1:9">
      <c r="A32" s="261"/>
      <c r="B32" s="261"/>
      <c r="C32" s="261"/>
      <c r="D32" s="261"/>
      <c r="E32" s="261"/>
      <c r="F32" s="261"/>
      <c r="G32" s="261"/>
      <c r="H32" s="261"/>
      <c r="I32" s="261"/>
    </row>
    <row r="33" spans="1:9">
      <c r="A33" s="261"/>
      <c r="B33" s="261"/>
      <c r="C33" s="261"/>
      <c r="D33" s="261"/>
      <c r="E33" s="261"/>
      <c r="F33" s="261"/>
      <c r="G33" s="261"/>
      <c r="H33" s="261"/>
      <c r="I33" s="261"/>
    </row>
    <row r="34" spans="1:9">
      <c r="A34" s="261"/>
      <c r="B34" s="261"/>
      <c r="C34" s="261"/>
      <c r="D34" s="261"/>
      <c r="E34" s="261"/>
      <c r="F34" s="261"/>
      <c r="G34" s="261"/>
      <c r="H34" s="261"/>
      <c r="I34" s="261"/>
    </row>
    <row r="35" spans="1:9">
      <c r="A35" s="261"/>
      <c r="B35" s="261"/>
      <c r="C35" s="261"/>
      <c r="D35" s="261"/>
      <c r="E35" s="261"/>
      <c r="F35" s="261"/>
      <c r="G35" s="261"/>
      <c r="H35" s="261"/>
      <c r="I35" s="261"/>
    </row>
    <row r="36" spans="1:9">
      <c r="A36" s="261"/>
      <c r="B36" s="261"/>
      <c r="C36" s="261"/>
      <c r="D36" s="261"/>
      <c r="E36" s="261"/>
      <c r="F36" s="261"/>
      <c r="G36" s="261"/>
      <c r="H36" s="261"/>
      <c r="I36" s="261"/>
    </row>
    <row r="37" spans="1:9">
      <c r="A37" s="261"/>
      <c r="B37" s="261"/>
      <c r="C37" s="261"/>
      <c r="D37" s="261"/>
      <c r="E37" s="261"/>
      <c r="F37" s="261"/>
      <c r="G37" s="261"/>
      <c r="H37" s="261"/>
      <c r="I37" s="261"/>
    </row>
    <row r="38" spans="1:9">
      <c r="A38" s="261"/>
      <c r="B38" s="261"/>
      <c r="C38" s="261"/>
      <c r="D38" s="261"/>
      <c r="E38" s="261"/>
      <c r="F38" s="261"/>
      <c r="G38" s="261"/>
      <c r="H38" s="261"/>
      <c r="I38" s="261"/>
    </row>
    <row r="39" spans="1:9">
      <c r="A39" s="261"/>
      <c r="B39" s="261"/>
      <c r="C39" s="261"/>
      <c r="D39" s="261"/>
      <c r="E39" s="261"/>
      <c r="F39" s="261"/>
      <c r="G39" s="261"/>
      <c r="H39" s="261"/>
      <c r="I39" s="261"/>
    </row>
    <row r="40" spans="1:9">
      <c r="A40" s="261"/>
      <c r="B40" s="261"/>
      <c r="C40" s="261"/>
      <c r="D40" s="261"/>
      <c r="E40" s="261"/>
      <c r="F40" s="261"/>
      <c r="G40" s="261"/>
      <c r="H40" s="261"/>
      <c r="I40" s="261"/>
    </row>
    <row r="41" spans="1:9">
      <c r="A41" s="261"/>
      <c r="B41" s="261"/>
      <c r="C41" s="261"/>
      <c r="D41" s="261"/>
      <c r="E41" s="261"/>
      <c r="F41" s="261"/>
      <c r="G41" s="261"/>
      <c r="H41" s="261"/>
      <c r="I41" s="26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58"/>
  <sheetViews>
    <sheetView topLeftCell="A20" zoomScale="115" zoomScaleNormal="115" workbookViewId="0">
      <selection activeCell="B5" sqref="B5"/>
    </sheetView>
  </sheetViews>
  <sheetFormatPr defaultColWidth="8.85546875" defaultRowHeight="15"/>
  <cols>
    <col min="1" max="1" width="57.85546875" style="62" customWidth="1"/>
    <col min="2" max="2" width="10.28515625" style="71" customWidth="1"/>
    <col min="3" max="3" width="14.28515625" style="62" customWidth="1"/>
    <col min="4" max="4" width="9.140625" style="62" bestFit="1" customWidth="1"/>
    <col min="5" max="16384" width="8.85546875" style="62"/>
  </cols>
  <sheetData>
    <row r="1" spans="1:6">
      <c r="A1" s="285" t="s">
        <v>286</v>
      </c>
      <c r="B1" s="285"/>
    </row>
    <row r="2" spans="1:6">
      <c r="A2" s="264" t="s">
        <v>287</v>
      </c>
      <c r="B2" s="264"/>
    </row>
    <row r="3" spans="1:6">
      <c r="A3" s="4"/>
      <c r="B3" s="8"/>
    </row>
    <row r="4" spans="1:6">
      <c r="A4" s="286" t="s">
        <v>288</v>
      </c>
      <c r="B4" s="269"/>
    </row>
    <row r="5" spans="1:6">
      <c r="A5" s="74" t="s">
        <v>289</v>
      </c>
      <c r="B5" s="207">
        <v>1450</v>
      </c>
      <c r="C5" s="220"/>
      <c r="D5" s="240"/>
      <c r="E5" s="190"/>
      <c r="F5" s="197"/>
    </row>
    <row r="6" spans="1:6">
      <c r="A6" s="74" t="s">
        <v>290</v>
      </c>
      <c r="B6" s="239">
        <v>33</v>
      </c>
    </row>
    <row r="7" spans="1:6">
      <c r="A7" s="287" t="s">
        <v>291</v>
      </c>
      <c r="B7" s="287"/>
    </row>
    <row r="8" spans="1:6">
      <c r="A8" s="288" t="s">
        <v>292</v>
      </c>
      <c r="B8" s="289">
        <v>10.83</v>
      </c>
    </row>
    <row r="9" spans="1:6">
      <c r="A9" s="74" t="s">
        <v>293</v>
      </c>
      <c r="B9" s="289">
        <f>1100*0.15805</f>
        <v>173.85499999999999</v>
      </c>
      <c r="C9" s="66"/>
    </row>
    <row r="10" spans="1:6">
      <c r="A10" s="74" t="s">
        <v>294</v>
      </c>
      <c r="B10" s="289">
        <f>SUM(B8:B9)*0.15</f>
        <v>27.702749999999998</v>
      </c>
    </row>
    <row r="11" spans="1:6">
      <c r="A11" s="74" t="s">
        <v>16</v>
      </c>
      <c r="B11" s="289">
        <f>SUM(B8:B10)</f>
        <v>212.38775000000001</v>
      </c>
    </row>
    <row r="12" spans="1:6">
      <c r="A12" s="74" t="s">
        <v>295</v>
      </c>
      <c r="B12" s="290">
        <f>-(B11*10%)</f>
        <v>-21.238775000000004</v>
      </c>
      <c r="E12" s="254"/>
    </row>
    <row r="13" spans="1:6">
      <c r="A13" s="81" t="s">
        <v>296</v>
      </c>
      <c r="B13" s="179">
        <f>SUM(B11:B12)</f>
        <v>191.14897500000001</v>
      </c>
      <c r="E13" s="254"/>
    </row>
    <row r="14" spans="1:6">
      <c r="A14" s="226" t="s">
        <v>297</v>
      </c>
      <c r="B14" s="239">
        <f>(55/12+60)*115%</f>
        <v>74.270833333333329</v>
      </c>
      <c r="E14" s="255"/>
    </row>
    <row r="15" spans="1:6">
      <c r="A15" s="81" t="s">
        <v>298</v>
      </c>
      <c r="B15" s="212">
        <f>SUM(B13:B14)</f>
        <v>265.41980833333332</v>
      </c>
      <c r="E15" s="254"/>
    </row>
    <row r="16" spans="1:6">
      <c r="A16" s="81" t="s">
        <v>299</v>
      </c>
      <c r="B16" s="212">
        <f>B5+B6+B15</f>
        <v>1748.4198083333333</v>
      </c>
    </row>
    <row r="17" spans="1:3">
      <c r="A17" s="291"/>
      <c r="B17" s="292"/>
    </row>
    <row r="18" spans="1:3">
      <c r="A18" s="81" t="s">
        <v>273</v>
      </c>
      <c r="B18" s="30"/>
    </row>
    <row r="19" spans="1:3">
      <c r="A19" s="74" t="s">
        <v>300</v>
      </c>
      <c r="B19" s="179">
        <f>'MBM 2019'!D16*CPI!H17/CPI!F17</f>
        <v>2153.7641383898872</v>
      </c>
    </row>
    <row r="20" spans="1:3">
      <c r="A20" s="81" t="s">
        <v>301</v>
      </c>
      <c r="B20" s="30">
        <f>B19/12</f>
        <v>179.48034486582392</v>
      </c>
    </row>
    <row r="21" spans="1:3">
      <c r="A21" s="63"/>
      <c r="B21" s="7"/>
    </row>
    <row r="22" spans="1:3">
      <c r="A22" s="64" t="s">
        <v>302</v>
      </c>
      <c r="B22" s="179">
        <f>('MBM 2019'!G16*60%)*(CPI!H12/CPI!F12)</f>
        <v>7441.1810909090891</v>
      </c>
      <c r="C22" s="65"/>
    </row>
    <row r="23" spans="1:3">
      <c r="A23" s="221" t="s">
        <v>301</v>
      </c>
      <c r="B23" s="30">
        <f>B22/12</f>
        <v>620.09842424242413</v>
      </c>
      <c r="C23" s="65"/>
    </row>
    <row r="24" spans="1:3">
      <c r="A24" s="64"/>
      <c r="B24" s="179"/>
      <c r="C24" s="65"/>
    </row>
    <row r="25" spans="1:3">
      <c r="A25" s="74" t="s">
        <v>303</v>
      </c>
      <c r="B25" s="179">
        <f>('MBM 2019'!G16*40%)*CPI!H12/CPI!F12</f>
        <v>4960.787393939394</v>
      </c>
    </row>
    <row r="26" spans="1:3">
      <c r="A26" s="81" t="s">
        <v>301</v>
      </c>
      <c r="B26" s="211">
        <f>B25/12</f>
        <v>413.39894949494948</v>
      </c>
    </row>
    <row r="27" spans="1:3">
      <c r="A27" s="293"/>
      <c r="B27" s="294"/>
    </row>
    <row r="28" spans="1:3">
      <c r="A28" s="286" t="s">
        <v>9</v>
      </c>
      <c r="B28" s="295"/>
    </row>
    <row r="29" spans="1:3">
      <c r="A29" s="76" t="s">
        <v>304</v>
      </c>
      <c r="B29" s="67">
        <f>82.5*12</f>
        <v>990</v>
      </c>
    </row>
    <row r="30" spans="1:3">
      <c r="A30" s="74" t="s">
        <v>305</v>
      </c>
      <c r="B30" s="72">
        <f>'MBM 2019'!E14*CPI!H18/CPI!F18</f>
        <v>4195.9560810810808</v>
      </c>
      <c r="C30" s="208"/>
    </row>
    <row r="31" spans="1:3">
      <c r="A31" s="74" t="s">
        <v>306</v>
      </c>
      <c r="B31" s="253">
        <f>30*32</f>
        <v>960</v>
      </c>
      <c r="C31" s="208"/>
    </row>
    <row r="32" spans="1:3">
      <c r="A32" s="81" t="s">
        <v>307</v>
      </c>
      <c r="B32" s="180">
        <f>SUM(B29:B31)</f>
        <v>6145.9560810810808</v>
      </c>
      <c r="C32" s="65"/>
    </row>
    <row r="33" spans="1:6">
      <c r="A33" s="81" t="s">
        <v>301</v>
      </c>
      <c r="B33" s="180">
        <f>B32/12</f>
        <v>512.16300675675677</v>
      </c>
      <c r="C33" s="65"/>
    </row>
    <row r="34" spans="1:6">
      <c r="A34" s="291"/>
      <c r="B34" s="294"/>
    </row>
    <row r="35" spans="1:6">
      <c r="A35" s="265" t="s">
        <v>13</v>
      </c>
      <c r="B35" s="31"/>
      <c r="C35" s="6"/>
      <c r="D35" s="3"/>
      <c r="E35" s="3"/>
      <c r="F35" s="3"/>
    </row>
    <row r="36" spans="1:6">
      <c r="A36" s="74" t="s">
        <v>308</v>
      </c>
      <c r="B36" s="289">
        <v>478</v>
      </c>
      <c r="C36" s="296"/>
    </row>
    <row r="37" spans="1:6">
      <c r="A37" s="74" t="s">
        <v>309</v>
      </c>
      <c r="B37" s="289">
        <v>50</v>
      </c>
      <c r="C37" s="293"/>
    </row>
    <row r="38" spans="1:6">
      <c r="A38" s="74" t="s">
        <v>310</v>
      </c>
      <c r="B38" s="289">
        <v>208.69</v>
      </c>
      <c r="C38" s="293"/>
    </row>
    <row r="39" spans="1:6">
      <c r="A39" s="81" t="s">
        <v>311</v>
      </c>
      <c r="B39" s="297">
        <f>(B36+B37+B38)*2</f>
        <v>1473.38</v>
      </c>
      <c r="C39" s="293"/>
    </row>
    <row r="40" spans="1:6">
      <c r="A40" s="81" t="s">
        <v>301</v>
      </c>
      <c r="B40" s="297">
        <f>B39/12</f>
        <v>122.78166666666668</v>
      </c>
      <c r="C40" s="293"/>
    </row>
    <row r="41" spans="1:6">
      <c r="A41" s="263"/>
      <c r="C41" s="293"/>
    </row>
    <row r="42" spans="1:6">
      <c r="A42" s="298" t="s">
        <v>10</v>
      </c>
      <c r="B42" s="299"/>
      <c r="C42" s="293"/>
    </row>
    <row r="43" spans="1:6">
      <c r="A43" s="75" t="s">
        <v>312</v>
      </c>
      <c r="B43" s="67">
        <f>(853*12)</f>
        <v>10236</v>
      </c>
      <c r="C43" s="66"/>
    </row>
    <row r="44" spans="1:6">
      <c r="A44" s="75" t="s">
        <v>313</v>
      </c>
      <c r="B44" s="67">
        <f>(200*10)+37</f>
        <v>2037</v>
      </c>
      <c r="D44" s="65"/>
    </row>
    <row r="45" spans="1:6">
      <c r="A45" s="75" t="s">
        <v>314</v>
      </c>
      <c r="B45" s="67">
        <f>150*6</f>
        <v>900</v>
      </c>
      <c r="D45" s="65"/>
    </row>
    <row r="46" spans="1:6">
      <c r="A46" s="75" t="s">
        <v>315</v>
      </c>
      <c r="B46" s="67">
        <f>28*15</f>
        <v>420</v>
      </c>
    </row>
    <row r="47" spans="1:6">
      <c r="A47" s="214" t="s">
        <v>316</v>
      </c>
      <c r="B47" s="67">
        <v>0</v>
      </c>
    </row>
    <row r="48" spans="1:6">
      <c r="A48" s="222" t="s">
        <v>307</v>
      </c>
      <c r="B48" s="300">
        <f>SUM(B43:B47)</f>
        <v>13593</v>
      </c>
    </row>
    <row r="49" spans="1:7">
      <c r="A49" s="222" t="s">
        <v>301</v>
      </c>
      <c r="B49" s="300">
        <f>B48/12</f>
        <v>1132.75</v>
      </c>
    </row>
    <row r="50" spans="1:7">
      <c r="A50" s="301"/>
      <c r="B50" s="301"/>
    </row>
    <row r="51" spans="1:7">
      <c r="A51" s="210" t="s">
        <v>317</v>
      </c>
      <c r="B51" s="302"/>
      <c r="C51" s="66"/>
      <c r="F51" s="283"/>
      <c r="G51" s="284"/>
    </row>
    <row r="52" spans="1:7">
      <c r="A52" s="224" t="s">
        <v>318</v>
      </c>
      <c r="B52" s="225">
        <f>'MBM 2019'!C16*CPI!H13/CPI!F13</f>
        <v>12879.728213507624</v>
      </c>
      <c r="C52" s="66"/>
      <c r="F52" s="262"/>
      <c r="G52" s="263"/>
    </row>
    <row r="53" spans="1:7">
      <c r="A53" s="224" t="s">
        <v>3</v>
      </c>
      <c r="B53" s="225">
        <f>B52/12</f>
        <v>1073.3106844589686</v>
      </c>
      <c r="C53" s="66"/>
      <c r="F53" s="262"/>
      <c r="G53" s="263"/>
    </row>
    <row r="54" spans="1:7">
      <c r="A54" s="209"/>
      <c r="B54" s="303"/>
      <c r="C54" s="66"/>
      <c r="F54" s="262"/>
      <c r="G54" s="263"/>
    </row>
    <row r="55" spans="1:7">
      <c r="A55" s="82" t="s">
        <v>319</v>
      </c>
      <c r="B55" s="83"/>
      <c r="C55" s="1"/>
    </row>
    <row r="56" spans="1:7">
      <c r="A56" s="84" t="s">
        <v>320</v>
      </c>
      <c r="B56" s="252">
        <v>179.68</v>
      </c>
    </row>
    <row r="57" spans="1:7">
      <c r="A57" s="213" t="s">
        <v>307</v>
      </c>
      <c r="B57" s="72">
        <f>B56*12</f>
        <v>2156.16</v>
      </c>
    </row>
    <row r="58" spans="1:7">
      <c r="B58" s="223"/>
    </row>
  </sheetData>
  <mergeCells count="6">
    <mergeCell ref="F51:G51"/>
    <mergeCell ref="A1:B1"/>
    <mergeCell ref="A28:B28"/>
    <mergeCell ref="A50:B50"/>
    <mergeCell ref="A7:B7"/>
    <mergeCell ref="A4:B4"/>
  </mergeCells>
  <pageMargins left="0.7" right="0.7" top="0.75" bottom="0.75" header="0.3" footer="0.3"/>
  <pageSetup orientation="portrait"/>
  <ignoredErrors>
    <ignoredError sqref="B14" formula="1"/>
  </ignoredError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Catherine Partridge</dc:creator>
  <cp:keywords/>
  <dc:description/>
  <cp:lastModifiedBy>Christine Saulnier</cp:lastModifiedBy>
  <cp:revision/>
  <dcterms:created xsi:type="dcterms:W3CDTF">2014-07-08T21:01:56Z</dcterms:created>
  <dcterms:modified xsi:type="dcterms:W3CDTF">2022-11-09T15:21:13Z</dcterms:modified>
  <cp:category/>
  <cp:contentStatus/>
</cp:coreProperties>
</file>