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3280" windowHeight="19640" activeTab="0"/>
  </bookViews>
  <sheets>
    <sheet name="Vancouver 2P2C" sheetId="1" r:id="rId1"/>
    <sheet name="Vancouver SP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<sst xmlns="http://schemas.openxmlformats.org/spreadsheetml/2006/main" count="187" uniqueCount="102">
  <si>
    <t xml:space="preserve"> Living Wage Calculation: Vancouver - January 2010:  35 hrs/wk + 35 hrs/wk</t>
  </si>
  <si>
    <t xml:space="preserve">             Living Wage Calculation: Vancouver - January 2010:  35 hrs/wk</t>
  </si>
  <si>
    <t>BCLICATC</t>
  </si>
  <si>
    <t>RAP</t>
  </si>
  <si>
    <t xml:space="preserve">     Table V:  Family Income less Gov't Deductions and Taxes plus Gov't Transfers</t>
  </si>
  <si>
    <t>Fed. TC = 1744</t>
  </si>
  <si>
    <t>Prov. TC= 1134</t>
  </si>
  <si>
    <t>Amount</t>
  </si>
  <si>
    <t>Income, Exp., Tax Credits</t>
  </si>
  <si>
    <t>Eq. to Spouse</t>
  </si>
  <si>
    <t>Prov. TC = 1134</t>
  </si>
  <si>
    <t xml:space="preserve">  + CCTB, UCCB, GST, RAP, BCLICATC</t>
  </si>
  <si>
    <t>Parent</t>
  </si>
  <si>
    <t>Both Subs.</t>
  </si>
  <si>
    <t>Income affecting PCCS</t>
  </si>
  <si>
    <t>Taxable Income $40,726 or less</t>
  </si>
  <si>
    <t>Taxable Income $40,7268 or less</t>
  </si>
  <si>
    <t>Taxable Income $35,716 or less</t>
  </si>
  <si>
    <t>Adjustments</t>
  </si>
  <si>
    <t>Item</t>
  </si>
  <si>
    <t>Monthly</t>
  </si>
  <si>
    <t>Annually</t>
  </si>
  <si>
    <t>Child Care</t>
  </si>
  <si>
    <t>Total</t>
  </si>
  <si>
    <t>Income</t>
  </si>
  <si>
    <t>Family Bonus</t>
  </si>
  <si>
    <t>GST</t>
  </si>
  <si>
    <t>Child Care Subs.</t>
  </si>
  <si>
    <t>Gap</t>
  </si>
  <si>
    <t>Parent 1</t>
  </si>
  <si>
    <t>Parent 2</t>
  </si>
  <si>
    <t>Wage</t>
  </si>
  <si>
    <t>Pre Tax Income</t>
  </si>
  <si>
    <t>Net Income</t>
  </si>
  <si>
    <t>EI Premiums</t>
  </si>
  <si>
    <t>CPP Premiums</t>
  </si>
  <si>
    <t>Fed. Income Tax</t>
  </si>
  <si>
    <t>Prov. Income Tax</t>
  </si>
  <si>
    <t>After Tax Income</t>
  </si>
  <si>
    <t>Monthly After Tax Inc.</t>
  </si>
  <si>
    <t>Total Annual Income from Employment</t>
  </si>
  <si>
    <t>Equals Family Take Home Pay</t>
  </si>
  <si>
    <t xml:space="preserve">  - Family Expenses</t>
  </si>
  <si>
    <t>Equals Income less expenses</t>
  </si>
  <si>
    <t xml:space="preserve">  - EI, CPP, Fed. and Prov. Taxes</t>
  </si>
  <si>
    <t>2 Weeks Pay</t>
  </si>
  <si>
    <t xml:space="preserve">    Food</t>
  </si>
  <si>
    <t xml:space="preserve">    Clothing and Footwear</t>
  </si>
  <si>
    <t xml:space="preserve">    Shelter</t>
  </si>
  <si>
    <t xml:space="preserve">    Other</t>
  </si>
  <si>
    <t xml:space="preserve">    Transportation</t>
  </si>
  <si>
    <t>MSP</t>
  </si>
  <si>
    <t>UCCB</t>
  </si>
  <si>
    <t>Equals Total Disposable Family Income</t>
  </si>
  <si>
    <t>Modified MBM</t>
  </si>
  <si>
    <t>Hours / Week</t>
  </si>
  <si>
    <t>Annual Expenses</t>
  </si>
  <si>
    <t>Available Annual Income</t>
  </si>
  <si>
    <t>Table II:  Non-Wage Income (Government Transfers)</t>
  </si>
  <si>
    <t>Table III:  Family Income Less Family Expenses</t>
  </si>
  <si>
    <t>Non MSP Health Ex</t>
  </si>
  <si>
    <t>Provincial Tax</t>
  </si>
  <si>
    <t xml:space="preserve">      Two Parent, Two Children, Two Income Family</t>
  </si>
  <si>
    <t>Formula</t>
  </si>
  <si>
    <t>BR at FNI</t>
  </si>
  <si>
    <t>$0 at FNI</t>
  </si>
  <si>
    <t>No NCBS at FNI</t>
  </si>
  <si>
    <t>No BC TR at NI</t>
  </si>
  <si>
    <t>Subtotal</t>
  </si>
  <si>
    <t>CC Exp.</t>
  </si>
  <si>
    <t>Med. Exp.</t>
  </si>
  <si>
    <t>Transit Cr.</t>
  </si>
  <si>
    <t>Child Tax Cr.</t>
  </si>
  <si>
    <t>% of Total</t>
  </si>
  <si>
    <t>Expenses</t>
  </si>
  <si>
    <t>Table I:  Family Expenses</t>
  </si>
  <si>
    <t xml:space="preserve">                Table IV:  The Living Wage and Government Deductions and Taxes</t>
  </si>
  <si>
    <t>Parent Education</t>
  </si>
  <si>
    <t>% of Pre Tax</t>
  </si>
  <si>
    <t xml:space="preserve">        Children ages 4 and 7, 1 Child FT CC, 1 Child Before and After School Care and Summer Care, with a Car and Bus Pass</t>
  </si>
  <si>
    <t>Federal Tax</t>
  </si>
  <si>
    <t>Employment Income</t>
  </si>
  <si>
    <t>Annual Family Expenses</t>
  </si>
  <si>
    <t>Child</t>
  </si>
  <si>
    <t>CT</t>
  </si>
  <si>
    <t>B49 (Adj.)</t>
  </si>
  <si>
    <t>Max. Subs.</t>
  </si>
  <si>
    <t>Amt of Subs.</t>
  </si>
  <si>
    <t>Provincial Child Care Subsidy Amount</t>
  </si>
  <si>
    <t>Pre Tax Inc.</t>
  </si>
  <si>
    <t>Gov't Trans.</t>
  </si>
  <si>
    <t>Total Inc.</t>
  </si>
  <si>
    <t>Family Taxes</t>
  </si>
  <si>
    <t>Gov't Trans</t>
  </si>
  <si>
    <t>Difference</t>
  </si>
  <si>
    <t>EI+CPP</t>
  </si>
  <si>
    <t>Net Contr.</t>
  </si>
  <si>
    <t>Division of Income, Exp., Credits</t>
  </si>
  <si>
    <t>Education TC</t>
  </si>
  <si>
    <t>Canada CTB</t>
  </si>
  <si>
    <t xml:space="preserve">    Single Parent Family, One Child</t>
  </si>
  <si>
    <t xml:space="preserve">        Child aged 4, FT CC, with a Car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</si>
</sst>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"/>
  </numFmts>
  <fonts count="26">
    <font>
      <sz val="10"/>
      <name val="Arial"/>
      <family val="0"/>
    </font>
    <font>
      <sz val="8"/>
      <name val="Arial"/>
      <family val="0"/>
    </font>
    <font>
      <u val="single"/>
      <sz val="12.5"/>
      <color indexed="36"/>
      <name val="Arial"/>
      <family val="0"/>
    </font>
    <font>
      <u val="single"/>
      <sz val="12.5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1" fillId="0" borderId="10" xfId="59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64" fontId="8" fillId="0" borderId="10" xfId="59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4" fontId="0" fillId="0" borderId="0" xfId="59" applyNumberFormat="1" applyFont="1" applyAlignment="1">
      <alignment/>
    </xf>
    <xf numFmtId="164" fontId="0" fillId="0" borderId="0" xfId="59" applyNumberFormat="1" applyFont="1" applyBorder="1" applyAlignment="1">
      <alignment/>
    </xf>
    <xf numFmtId="9" fontId="0" fillId="0" borderId="0" xfId="59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164" fontId="1" fillId="0" borderId="10" xfId="59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4" fontId="1" fillId="0" borderId="0" xfId="59" applyNumberFormat="1" applyFont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4" fontId="7" fillId="0" borderId="0" xfId="59" applyNumberFormat="1" applyFont="1" applyAlignment="1">
      <alignment/>
    </xf>
    <xf numFmtId="164" fontId="7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59" applyNumberFormat="1" applyFont="1" applyAlignment="1">
      <alignment horizontal="center"/>
    </xf>
    <xf numFmtId="2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tabSelected="1" zoomScalePageLayoutView="0" workbookViewId="0" topLeftCell="A19">
      <selection activeCell="H40" sqref="H40"/>
    </sheetView>
  </sheetViews>
  <sheetFormatPr defaultColWidth="8.8515625" defaultRowHeight="12.75"/>
  <cols>
    <col min="1" max="1" width="16.8515625" style="0" customWidth="1"/>
    <col min="2" max="2" width="9.28125" style="0" customWidth="1"/>
    <col min="3" max="3" width="9.421875" style="0" customWidth="1"/>
    <col min="4" max="4" width="8.8515625" style="0" customWidth="1"/>
    <col min="5" max="5" width="10.8515625" style="0" customWidth="1"/>
    <col min="6" max="6" width="7.421875" style="0" customWidth="1"/>
    <col min="7" max="7" width="9.7109375" style="0" customWidth="1"/>
    <col min="8" max="8" width="11.00390625" style="0" customWidth="1"/>
    <col min="9" max="9" width="8.421875" style="0" customWidth="1"/>
    <col min="10" max="10" width="7.28125" style="0" customWidth="1"/>
    <col min="11" max="11" width="6.8515625" style="0" customWidth="1"/>
    <col min="12" max="12" width="10.8515625" style="0" customWidth="1"/>
    <col min="13" max="13" width="8.421875" style="0" customWidth="1"/>
    <col min="14" max="14" width="6.28125" style="0" customWidth="1"/>
    <col min="15" max="15" width="6.7109375" style="0" customWidth="1"/>
    <col min="16" max="16" width="9.421875" style="0" customWidth="1"/>
    <col min="17" max="17" width="8.00390625" style="0" customWidth="1"/>
    <col min="18" max="18" width="7.421875" style="0" customWidth="1"/>
  </cols>
  <sheetData>
    <row r="1" spans="1:9" ht="16.5">
      <c r="A1" s="1" t="s">
        <v>0</v>
      </c>
      <c r="B1" s="1"/>
      <c r="C1" s="46"/>
      <c r="D1" s="46"/>
      <c r="E1" s="46"/>
      <c r="F1" s="46"/>
      <c r="G1" s="46"/>
      <c r="H1" s="46"/>
      <c r="I1" s="46"/>
    </row>
    <row r="2" spans="2:5" s="2" customFormat="1" ht="15" customHeight="1">
      <c r="B2" s="2" t="s">
        <v>62</v>
      </c>
      <c r="D2" s="3"/>
      <c r="E2" s="4"/>
    </row>
    <row r="3" spans="1:10" ht="15">
      <c r="A3" s="47" t="s">
        <v>79</v>
      </c>
      <c r="C3" s="2"/>
      <c r="D3" s="3"/>
      <c r="E3" s="4"/>
      <c r="F3" s="2"/>
      <c r="G3" s="2"/>
      <c r="H3" s="2"/>
      <c r="I3" s="2"/>
      <c r="J3" s="2"/>
    </row>
    <row r="4" spans="1:10" ht="12.75" customHeight="1">
      <c r="A4" s="2"/>
      <c r="B4" s="46"/>
      <c r="C4" s="2"/>
      <c r="D4" s="3"/>
      <c r="E4" s="4"/>
      <c r="F4" s="2"/>
      <c r="G4" s="2"/>
      <c r="H4" s="2"/>
      <c r="I4" s="2"/>
      <c r="J4" s="2"/>
    </row>
    <row r="5" ht="15">
      <c r="B5" s="5" t="s">
        <v>75</v>
      </c>
    </row>
    <row r="6" spans="3:19" ht="12.75" customHeight="1">
      <c r="C6" s="5"/>
      <c r="E6" s="6"/>
      <c r="F6" s="6"/>
      <c r="G6" s="6"/>
      <c r="H6" s="6"/>
      <c r="I6" s="6"/>
      <c r="J6" s="7"/>
      <c r="L6" s="8"/>
      <c r="M6" s="9"/>
      <c r="N6" s="9"/>
      <c r="O6" s="9"/>
      <c r="P6" s="9"/>
      <c r="Q6" s="9"/>
      <c r="S6" s="42"/>
    </row>
    <row r="7" spans="1:28" ht="12">
      <c r="A7" s="10" t="s">
        <v>19</v>
      </c>
      <c r="B7" s="11" t="s">
        <v>20</v>
      </c>
      <c r="C7" s="11" t="s">
        <v>21</v>
      </c>
      <c r="D7" s="12" t="s">
        <v>73</v>
      </c>
      <c r="E7" s="12" t="s">
        <v>78</v>
      </c>
      <c r="F7" s="61"/>
      <c r="G7" s="7"/>
      <c r="H7" s="48"/>
      <c r="I7" s="49"/>
      <c r="J7" s="7"/>
      <c r="L7" s="65"/>
      <c r="P7" s="8"/>
      <c r="Q7" s="9"/>
      <c r="R7" s="9"/>
      <c r="S7" s="9"/>
      <c r="T7" s="9"/>
      <c r="U7" s="9"/>
      <c r="W7" s="8"/>
      <c r="X7" s="9"/>
      <c r="Y7" s="9"/>
      <c r="Z7" s="9"/>
      <c r="AA7" s="9"/>
      <c r="AB7" s="9"/>
    </row>
    <row r="8" spans="1:23" ht="12">
      <c r="A8" s="14" t="s">
        <v>54</v>
      </c>
      <c r="B8" s="15"/>
      <c r="C8" s="15"/>
      <c r="D8" s="16" t="s">
        <v>74</v>
      </c>
      <c r="E8" s="12" t="s">
        <v>24</v>
      </c>
      <c r="F8" s="62"/>
      <c r="G8" s="17"/>
      <c r="H8" s="50"/>
      <c r="I8" s="49"/>
      <c r="J8" s="17"/>
      <c r="K8" s="18"/>
      <c r="L8" s="64"/>
      <c r="M8" s="18"/>
      <c r="P8" s="13"/>
      <c r="W8" s="13"/>
    </row>
    <row r="9" spans="1:27" ht="12">
      <c r="A9" s="14" t="s">
        <v>46</v>
      </c>
      <c r="B9" s="15">
        <f>((919*1092+862*1541)/(1092+1541))*((206.83+244.31+149.02+144.04)/871.86)</f>
        <v>755.9622577968885</v>
      </c>
      <c r="C9" s="15">
        <f>B9*12</f>
        <v>9071.547093562662</v>
      </c>
      <c r="D9" s="19">
        <f>C9/C20</f>
        <v>0.14932706329200796</v>
      </c>
      <c r="E9" s="51">
        <f>C9/D50</f>
        <v>0.13715923321201265</v>
      </c>
      <c r="F9" s="62"/>
      <c r="G9" s="72"/>
      <c r="H9" s="20"/>
      <c r="I9" s="21"/>
      <c r="J9" s="7"/>
      <c r="K9" s="18"/>
      <c r="L9" s="64"/>
      <c r="M9" s="18"/>
      <c r="P9" s="13"/>
      <c r="T9" s="42"/>
      <c r="W9" s="13"/>
      <c r="AA9" s="42"/>
    </row>
    <row r="10" spans="1:28" ht="12">
      <c r="A10" s="14" t="s">
        <v>47</v>
      </c>
      <c r="B10" s="15">
        <f>C10/12</f>
        <v>186.64447781114447</v>
      </c>
      <c r="C10" s="15">
        <f>2251*(1+(99.1-99.9)/99.9)*(1+(99.4-99.1)/99.1)</f>
        <v>2239.7337337337335</v>
      </c>
      <c r="D10" s="19">
        <f>C10/C20</f>
        <v>0.03686833762367132</v>
      </c>
      <c r="E10" s="51">
        <f>C10/D50</f>
        <v>0.03386414228461559</v>
      </c>
      <c r="F10" s="63"/>
      <c r="G10" s="73"/>
      <c r="H10" s="13"/>
      <c r="I10" s="13"/>
      <c r="J10" s="17"/>
      <c r="K10" s="18"/>
      <c r="L10" s="64"/>
      <c r="M10" s="18"/>
      <c r="P10" s="13"/>
      <c r="T10" s="42"/>
      <c r="U10" s="22"/>
      <c r="W10" s="13"/>
      <c r="AA10" s="42"/>
      <c r="AB10" s="22"/>
    </row>
    <row r="11" spans="1:28" ht="12">
      <c r="A11" s="14" t="s">
        <v>48</v>
      </c>
      <c r="B11" s="15">
        <f>1175+102*(1+(122.1-115.1)/115.1)*(1+(116.9-122.1)/122.1)+37.41+30</f>
        <v>1346.0051346655084</v>
      </c>
      <c r="C11" s="15">
        <f>(B11)*12</f>
        <v>16152.061615986102</v>
      </c>
      <c r="D11" s="19">
        <f>C11/C20</f>
        <v>0.2658796677513063</v>
      </c>
      <c r="E11" s="51">
        <f>C11/D50</f>
        <v>0.24421461556584184</v>
      </c>
      <c r="F11" s="62"/>
      <c r="G11" s="18"/>
      <c r="H11" s="47"/>
      <c r="I11" s="23"/>
      <c r="J11" s="7"/>
      <c r="K11" s="18"/>
      <c r="L11" s="64"/>
      <c r="M11" s="18"/>
      <c r="P11" s="13"/>
      <c r="T11" s="42"/>
      <c r="U11" s="22"/>
      <c r="W11" s="13"/>
      <c r="AA11" s="42"/>
      <c r="AB11" s="22"/>
    </row>
    <row r="12" spans="1:28" ht="12">
      <c r="A12" s="14" t="s">
        <v>50</v>
      </c>
      <c r="B12" s="15">
        <f>C12/12</f>
        <v>442.48575827559665</v>
      </c>
      <c r="C12" s="15">
        <f>4044*(1+(140-129.9)/129.9)*(1+(132.4-140)/140)+99*12</f>
        <v>5309.82909930716</v>
      </c>
      <c r="D12" s="19">
        <f>C12/C20</f>
        <v>0.08740528796291464</v>
      </c>
      <c r="E12" s="51">
        <f>C12/D50</f>
        <v>0.08028311821967074</v>
      </c>
      <c r="F12" s="63"/>
      <c r="H12" s="24"/>
      <c r="I12" s="23"/>
      <c r="J12" s="43"/>
      <c r="K12" s="18"/>
      <c r="L12" s="64"/>
      <c r="M12" s="18"/>
      <c r="P12" s="13"/>
      <c r="T12" s="42"/>
      <c r="U12" s="22"/>
      <c r="W12" s="13"/>
      <c r="AA12" s="42"/>
      <c r="AB12" s="22"/>
    </row>
    <row r="13" spans="1:28" ht="12">
      <c r="A13" s="14" t="s">
        <v>49</v>
      </c>
      <c r="B13" s="15">
        <f>C13/12</f>
        <v>689.0455237294722</v>
      </c>
      <c r="C13" s="15">
        <f>(C9+C10)*0.731</f>
        <v>8268.546284753666</v>
      </c>
      <c r="D13" s="19">
        <f>C13/C20</f>
        <v>0.13610883806936155</v>
      </c>
      <c r="E13" s="51">
        <f>C13/D50</f>
        <v>0.12501808748803525</v>
      </c>
      <c r="F13" s="62"/>
      <c r="G13" s="18"/>
      <c r="H13" s="25"/>
      <c r="I13" s="21"/>
      <c r="J13" s="17"/>
      <c r="K13" s="18"/>
      <c r="L13" s="64"/>
      <c r="M13" s="18"/>
      <c r="P13" s="13"/>
      <c r="R13" s="9"/>
      <c r="T13" s="42"/>
      <c r="U13" s="22"/>
      <c r="W13" s="13"/>
      <c r="Y13" s="9"/>
      <c r="AA13" s="42"/>
      <c r="AB13" s="22"/>
    </row>
    <row r="14" spans="1:28" s="28" customFormat="1" ht="12">
      <c r="A14" s="16" t="s">
        <v>68</v>
      </c>
      <c r="B14" s="26"/>
      <c r="C14" s="26">
        <f>SUM(C9:C13)</f>
        <v>41041.717827343324</v>
      </c>
      <c r="D14" s="27">
        <f>C14/C20</f>
        <v>0.6755891946992617</v>
      </c>
      <c r="E14" s="27">
        <f>C14/D50</f>
        <v>0.6205391967701761</v>
      </c>
      <c r="F14" s="61"/>
      <c r="G14" s="25"/>
      <c r="H14" s="24"/>
      <c r="I14" s="23"/>
      <c r="J14" s="25"/>
      <c r="K14" s="21"/>
      <c r="L14" s="64"/>
      <c r="M14" s="18"/>
      <c r="N14"/>
      <c r="O14"/>
      <c r="P14" s="13"/>
      <c r="Q14"/>
      <c r="R14"/>
      <c r="S14"/>
      <c r="T14" s="42"/>
      <c r="U14" s="22"/>
      <c r="W14" s="13"/>
      <c r="X14"/>
      <c r="Y14"/>
      <c r="Z14"/>
      <c r="AA14" s="42"/>
      <c r="AB14" s="22"/>
    </row>
    <row r="15" spans="1:28" ht="12">
      <c r="A15" s="14" t="s">
        <v>22</v>
      </c>
      <c r="B15" s="15">
        <f>C15/12</f>
        <v>1095.8333333333333</v>
      </c>
      <c r="C15" s="15">
        <f>750*12+150*6+325*10</f>
        <v>13150</v>
      </c>
      <c r="D15" s="19">
        <f>C15/C20</f>
        <v>0.21646262341330372</v>
      </c>
      <c r="E15" s="51">
        <f>C15/D50</f>
        <v>0.19882429073403204</v>
      </c>
      <c r="F15" s="62"/>
      <c r="G15" s="17"/>
      <c r="H15" s="28"/>
      <c r="I15" s="21"/>
      <c r="J15" s="17"/>
      <c r="K15" s="18"/>
      <c r="L15" s="13"/>
      <c r="M15" s="29"/>
      <c r="N15" s="29"/>
      <c r="P15" s="13"/>
      <c r="R15" s="9"/>
      <c r="T15" s="42"/>
      <c r="U15" s="22"/>
      <c r="W15" s="13"/>
      <c r="Y15" s="9"/>
      <c r="AA15" s="42"/>
      <c r="AB15" s="22"/>
    </row>
    <row r="16" spans="1:28" ht="12">
      <c r="A16" s="14" t="s">
        <v>60</v>
      </c>
      <c r="B16" s="15">
        <v>133</v>
      </c>
      <c r="C16" s="15">
        <f>B16*12</f>
        <v>1596</v>
      </c>
      <c r="D16" s="19">
        <f>C16/C20</f>
        <v>0.02627181345761466</v>
      </c>
      <c r="E16" s="51">
        <f>C16/D50</f>
        <v>0.02413106981076161</v>
      </c>
      <c r="F16" s="49"/>
      <c r="G16" s="6"/>
      <c r="H16" s="17"/>
      <c r="I16" s="17"/>
      <c r="J16" s="17"/>
      <c r="K16" s="18"/>
      <c r="L16" s="13"/>
      <c r="P16" s="13"/>
      <c r="Q16" s="29"/>
      <c r="T16" s="42"/>
      <c r="U16" s="22"/>
      <c r="W16" s="13"/>
      <c r="X16" s="29"/>
      <c r="AA16" s="42"/>
      <c r="AB16" s="22"/>
    </row>
    <row r="17" spans="1:28" ht="12">
      <c r="A17" s="14" t="s">
        <v>51</v>
      </c>
      <c r="B17" s="15">
        <f>IF(D52-9000-5500&gt;28000,114,IF(D52-9000-5500&gt;26000,91.2,IF(D52-9000-5500&gt;24000,68.4,IF(D52-9000-5500&gt;22000,45.6,IF(D52-9000-5500&gt;20000,22.8,IF(D52-9000-5500&gt;1,0))))))</f>
        <v>114</v>
      </c>
      <c r="C17" s="15">
        <f>B17*12</f>
        <v>1368</v>
      </c>
      <c r="D17" s="19">
        <f>C17/C20</f>
        <v>0.022518697249383993</v>
      </c>
      <c r="E17" s="51">
        <f>C17/D50</f>
        <v>0.02068377412350995</v>
      </c>
      <c r="F17" s="62"/>
      <c r="G17" s="17"/>
      <c r="I17" s="17"/>
      <c r="J17" s="17"/>
      <c r="K17" s="18"/>
      <c r="L17" s="65"/>
      <c r="P17" s="13"/>
      <c r="R17" s="46"/>
      <c r="T17" s="42"/>
      <c r="U17" s="22"/>
      <c r="W17" s="13"/>
      <c r="Y17" s="46"/>
      <c r="AA17" s="42"/>
      <c r="AB17" s="22"/>
    </row>
    <row r="18" spans="1:28" ht="12">
      <c r="A18" s="14" t="s">
        <v>45</v>
      </c>
      <c r="B18" s="15">
        <f>C18/12</f>
        <v>211.98333333333335</v>
      </c>
      <c r="C18" s="15">
        <f>B47*B48*2+C47*C48*2</f>
        <v>2543.8</v>
      </c>
      <c r="D18" s="19">
        <f>C18/C20</f>
        <v>0.04187358337937354</v>
      </c>
      <c r="E18" s="51">
        <f>C18/D50</f>
        <v>0.038461538461538464</v>
      </c>
      <c r="F18" s="62"/>
      <c r="G18" s="17"/>
      <c r="H18" s="17"/>
      <c r="I18" s="17"/>
      <c r="J18" s="17"/>
      <c r="K18" s="18"/>
      <c r="L18" s="66"/>
      <c r="M18" s="46"/>
      <c r="N18" s="46"/>
      <c r="P18" s="13"/>
      <c r="T18" s="42"/>
      <c r="U18" s="22"/>
      <c r="W18" s="13"/>
      <c r="AA18" s="42"/>
      <c r="AB18" s="22"/>
    </row>
    <row r="19" spans="1:28" ht="12">
      <c r="A19" s="14" t="s">
        <v>77</v>
      </c>
      <c r="B19" s="15">
        <f>C19/12</f>
        <v>87.5</v>
      </c>
      <c r="C19" s="15">
        <v>1050</v>
      </c>
      <c r="D19" s="19">
        <f>C19/C20</f>
        <v>0.017284087801062276</v>
      </c>
      <c r="E19" s="51">
        <f>C19/D50</f>
        <v>0.01587570382286948</v>
      </c>
      <c r="F19" s="62"/>
      <c r="G19" s="55"/>
      <c r="H19" s="55"/>
      <c r="I19" s="55"/>
      <c r="J19" s="55"/>
      <c r="K19" s="56"/>
      <c r="L19" s="13"/>
      <c r="N19" s="46"/>
      <c r="P19" s="13"/>
      <c r="Q19" s="46"/>
      <c r="R19" s="46"/>
      <c r="T19" s="42"/>
      <c r="U19" s="22"/>
      <c r="W19" s="13"/>
      <c r="X19" s="46"/>
      <c r="Y19" s="46"/>
      <c r="AA19" s="42"/>
      <c r="AB19" s="22"/>
    </row>
    <row r="20" spans="1:28" ht="12">
      <c r="A20" s="14" t="s">
        <v>23</v>
      </c>
      <c r="B20" s="15">
        <f>SUM(B8:B19)</f>
        <v>5062.459818945277</v>
      </c>
      <c r="C20" s="15">
        <f>SUM(C9:C19)-C14</f>
        <v>60749.51782734333</v>
      </c>
      <c r="D20" s="19">
        <f>C20/C20</f>
        <v>1</v>
      </c>
      <c r="E20" s="19">
        <f>SUM(E9:E19)-E14</f>
        <v>0.9185155737228876</v>
      </c>
      <c r="F20" s="49"/>
      <c r="G20" s="24"/>
      <c r="H20" s="24"/>
      <c r="I20" s="23"/>
      <c r="J20" s="24"/>
      <c r="K20" s="57"/>
      <c r="L20" s="13"/>
      <c r="N20" s="46"/>
      <c r="P20" s="13"/>
      <c r="Q20" s="46"/>
      <c r="T20" s="42"/>
      <c r="U20" s="22"/>
      <c r="W20" s="13"/>
      <c r="X20" s="46"/>
      <c r="AA20" s="42"/>
      <c r="AB20" s="22"/>
    </row>
    <row r="21" spans="1:28" ht="12">
      <c r="A21" s="6"/>
      <c r="B21" s="17"/>
      <c r="C21" s="17"/>
      <c r="D21" s="17"/>
      <c r="E21" s="17"/>
      <c r="F21" s="17"/>
      <c r="G21" s="17"/>
      <c r="H21" s="43"/>
      <c r="I21" s="17"/>
      <c r="J21" s="23"/>
      <c r="K21" s="18"/>
      <c r="L21" s="13"/>
      <c r="N21" s="46"/>
      <c r="P21" s="13"/>
      <c r="Q21" s="46"/>
      <c r="T21" s="42"/>
      <c r="U21" s="22"/>
      <c r="W21" s="13"/>
      <c r="X21" s="46"/>
      <c r="AA21" s="42"/>
      <c r="AB21" s="22"/>
    </row>
    <row r="22" spans="2:28" ht="12">
      <c r="B22" s="18"/>
      <c r="C22" s="18"/>
      <c r="L22" s="13"/>
      <c r="N22" s="46"/>
      <c r="P22" s="13"/>
      <c r="Q22" s="46"/>
      <c r="T22" s="42"/>
      <c r="U22" s="22"/>
      <c r="W22" s="13"/>
      <c r="X22" s="46"/>
      <c r="AA22" s="42"/>
      <c r="AB22" s="22"/>
    </row>
    <row r="23" spans="2:28" ht="15">
      <c r="B23" s="5" t="s">
        <v>58</v>
      </c>
      <c r="L23" s="13"/>
      <c r="N23" s="46"/>
      <c r="P23" s="13"/>
      <c r="Q23" s="46"/>
      <c r="T23" s="42"/>
      <c r="U23" s="22"/>
      <c r="W23" s="13"/>
      <c r="X23" s="46"/>
      <c r="AA23" s="42"/>
      <c r="AB23" s="22"/>
    </row>
    <row r="24" spans="3:28" ht="12.75" customHeight="1">
      <c r="C24" s="5"/>
      <c r="L24" s="13"/>
      <c r="N24" s="46"/>
      <c r="P24" s="54"/>
      <c r="Q24" s="46"/>
      <c r="R24" s="46"/>
      <c r="S24" s="9"/>
      <c r="T24" s="74"/>
      <c r="U24" s="75"/>
      <c r="W24" s="54"/>
      <c r="X24" s="46"/>
      <c r="Y24" s="46"/>
      <c r="Z24" s="9"/>
      <c r="AA24" s="74"/>
      <c r="AB24" s="75"/>
    </row>
    <row r="25" spans="1:28" ht="12">
      <c r="A25" s="30" t="s">
        <v>24</v>
      </c>
      <c r="B25" s="11" t="s">
        <v>20</v>
      </c>
      <c r="C25" s="11" t="s">
        <v>21</v>
      </c>
      <c r="D25" s="8"/>
      <c r="E25" s="31" t="s">
        <v>63</v>
      </c>
      <c r="F25" s="31" t="s">
        <v>64</v>
      </c>
      <c r="G25" s="31" t="s">
        <v>65</v>
      </c>
      <c r="H25" s="32" t="s">
        <v>66</v>
      </c>
      <c r="I25" s="8"/>
      <c r="L25" s="13"/>
      <c r="N25" s="46"/>
      <c r="P25" s="54"/>
      <c r="Q25" s="46"/>
      <c r="R25" s="46"/>
      <c r="S25" s="9"/>
      <c r="T25" s="74"/>
      <c r="U25" s="75"/>
      <c r="W25" s="54"/>
      <c r="X25" s="46"/>
      <c r="Y25" s="46"/>
      <c r="Z25" s="9"/>
      <c r="AA25" s="74"/>
      <c r="AB25" s="75"/>
    </row>
    <row r="26" spans="1:28" ht="12">
      <c r="A26" s="14" t="s">
        <v>99</v>
      </c>
      <c r="B26" s="15">
        <f>C26/12</f>
        <v>175.29066666666665</v>
      </c>
      <c r="C26" s="15">
        <f>1340*2-(B52+C52-C27-40726)*0.04</f>
        <v>2103.488</v>
      </c>
      <c r="D26" s="67"/>
      <c r="E26" s="23">
        <f>1340*2-((D52-C27-40726)*0.04)+((2076+1837)-(D52-C27-23710)*0.23)</f>
        <v>-1212.1360000000009</v>
      </c>
      <c r="F26" s="23">
        <f>C27+40726</f>
        <v>41926</v>
      </c>
      <c r="G26" s="23">
        <f>(1340*2)/0.04+C27+40726</f>
        <v>108926</v>
      </c>
      <c r="H26" s="23">
        <f>(2076+1837)/0.23+C27+23710</f>
        <v>41923.043478260865</v>
      </c>
      <c r="K26" s="33"/>
      <c r="L26" s="13"/>
      <c r="N26" s="46"/>
      <c r="P26" s="13"/>
      <c r="Q26" s="46"/>
      <c r="T26" s="42"/>
      <c r="U26" s="22"/>
      <c r="W26" s="13"/>
      <c r="X26" s="46"/>
      <c r="AA26" s="42"/>
      <c r="AB26" s="22"/>
    </row>
    <row r="27" spans="1:28" ht="12">
      <c r="A27" s="14" t="s">
        <v>52</v>
      </c>
      <c r="B27" s="15">
        <f>100</f>
        <v>100</v>
      </c>
      <c r="C27" s="15">
        <f>B27*12</f>
        <v>1200</v>
      </c>
      <c r="D27" s="67"/>
      <c r="K27" s="33"/>
      <c r="L27" s="13"/>
      <c r="N27" s="46"/>
      <c r="P27" s="13"/>
      <c r="Q27" s="46"/>
      <c r="T27" s="42"/>
      <c r="U27" s="22"/>
      <c r="W27" s="13"/>
      <c r="X27" s="46"/>
      <c r="AA27" s="42"/>
      <c r="AB27" s="22"/>
    </row>
    <row r="28" spans="1:28" ht="12">
      <c r="A28" s="14" t="s">
        <v>25</v>
      </c>
      <c r="B28" s="15">
        <f>C28/12</f>
        <v>0</v>
      </c>
      <c r="C28" s="15">
        <v>0</v>
      </c>
      <c r="D28" s="67"/>
      <c r="G28" s="23">
        <v>35300</v>
      </c>
      <c r="H28" s="18"/>
      <c r="I28" s="18"/>
      <c r="L28" s="13"/>
      <c r="N28" s="46"/>
      <c r="P28" s="13"/>
      <c r="Q28" s="46"/>
      <c r="T28" s="42"/>
      <c r="U28" s="22"/>
      <c r="W28" s="13"/>
      <c r="X28" s="46"/>
      <c r="AA28" s="42"/>
      <c r="AB28" s="22"/>
    </row>
    <row r="29" spans="1:28" ht="12">
      <c r="A29" s="14" t="s">
        <v>26</v>
      </c>
      <c r="B29" s="15">
        <f>(C29)/12</f>
        <v>0</v>
      </c>
      <c r="C29" s="15">
        <v>0</v>
      </c>
      <c r="D29" s="67"/>
      <c r="E29" s="23">
        <f>(248+248+130+130)-(D52-C27-32312)*0.05</f>
        <v>-385.34000000000015</v>
      </c>
      <c r="F29" s="33"/>
      <c r="G29" s="23">
        <f>(248+248+130+130)/0.05+C27+32312</f>
        <v>48632</v>
      </c>
      <c r="H29" s="18"/>
      <c r="I29" s="18"/>
      <c r="K29" s="47"/>
      <c r="L29" s="13"/>
      <c r="N29" s="46"/>
      <c r="P29" s="13"/>
      <c r="Q29" s="46"/>
      <c r="T29" s="42"/>
      <c r="U29" s="22"/>
      <c r="W29" s="13"/>
      <c r="X29" s="46"/>
      <c r="AA29" s="42"/>
      <c r="AB29" s="22"/>
    </row>
    <row r="30" spans="1:28" ht="12">
      <c r="A30" s="14" t="s">
        <v>3</v>
      </c>
      <c r="B30" s="15">
        <v>0</v>
      </c>
      <c r="C30" s="15">
        <v>0</v>
      </c>
      <c r="D30" s="67"/>
      <c r="E30" s="23"/>
      <c r="F30" s="33"/>
      <c r="G30" s="23"/>
      <c r="H30" s="18"/>
      <c r="I30" s="18"/>
      <c r="K30" s="47"/>
      <c r="L30" s="13"/>
      <c r="N30" s="46"/>
      <c r="P30" s="13"/>
      <c r="Q30" s="46"/>
      <c r="T30" s="42"/>
      <c r="U30" s="22"/>
      <c r="W30" s="13"/>
      <c r="X30" s="46"/>
      <c r="AA30" s="42"/>
      <c r="AB30" s="22"/>
    </row>
    <row r="31" spans="1:28" ht="12">
      <c r="A31" s="52" t="s">
        <v>2</v>
      </c>
      <c r="B31" s="15">
        <v>0</v>
      </c>
      <c r="C31" s="15">
        <v>0</v>
      </c>
      <c r="D31" s="72">
        <f>105+105+31.5+31.5-(D52-C27-35700)*0.02</f>
        <v>-115.77600000000007</v>
      </c>
      <c r="E31" s="23"/>
      <c r="F31" s="33"/>
      <c r="G31" s="23">
        <f>(105+105+31.5+31.5)/0.02+35700</f>
        <v>49350</v>
      </c>
      <c r="H31" s="18"/>
      <c r="I31" s="18"/>
      <c r="K31" s="47"/>
      <c r="L31" s="13"/>
      <c r="N31" s="46"/>
      <c r="P31" s="13"/>
      <c r="Q31" s="46"/>
      <c r="T31" s="42"/>
      <c r="U31" s="22"/>
      <c r="W31" s="13"/>
      <c r="X31" s="46"/>
      <c r="AA31" s="42"/>
      <c r="AB31" s="22"/>
    </row>
    <row r="32" spans="1:27" ht="12">
      <c r="A32" s="14" t="s">
        <v>27</v>
      </c>
      <c r="B32" s="15">
        <v>0</v>
      </c>
      <c r="C32" s="15">
        <f>B32*12</f>
        <v>0</v>
      </c>
      <c r="D32" s="23"/>
      <c r="E32" s="23"/>
      <c r="F32" s="23"/>
      <c r="H32" s="18"/>
      <c r="J32" s="18"/>
      <c r="K32" s="33"/>
      <c r="L32" s="13"/>
      <c r="P32" s="13"/>
      <c r="T32" s="42"/>
      <c r="W32" s="13"/>
      <c r="AA32" s="42"/>
    </row>
    <row r="33" spans="1:25" ht="12">
      <c r="A33" s="14" t="s">
        <v>23</v>
      </c>
      <c r="B33" s="15">
        <f>SUM(B26:B32)</f>
        <v>275.29066666666665</v>
      </c>
      <c r="C33" s="15">
        <f>SUM(C26:C32)</f>
        <v>3303.488</v>
      </c>
      <c r="H33" s="18"/>
      <c r="I33" s="18"/>
      <c r="L33" s="13"/>
      <c r="P33" s="13"/>
      <c r="Q33" s="9"/>
      <c r="R33" s="9"/>
      <c r="W33" s="13"/>
      <c r="X33" s="9"/>
      <c r="Y33" s="9"/>
    </row>
    <row r="34" spans="1:15" ht="12">
      <c r="A34" s="6"/>
      <c r="B34" s="17"/>
      <c r="C34" s="17"/>
      <c r="H34" s="18"/>
      <c r="I34" s="18"/>
      <c r="L34" s="8"/>
      <c r="M34" s="9"/>
      <c r="N34" s="9"/>
      <c r="O34" s="9"/>
    </row>
    <row r="35" spans="2:3" ht="12">
      <c r="B35" s="18"/>
      <c r="C35" s="18"/>
    </row>
    <row r="36" ht="15">
      <c r="B36" s="5" t="s">
        <v>59</v>
      </c>
    </row>
    <row r="37" spans="1:27" ht="12.75" customHeight="1">
      <c r="A37" s="2"/>
      <c r="P37" s="8"/>
      <c r="Q37" s="9"/>
      <c r="R37" s="9"/>
      <c r="S37" s="9"/>
      <c r="T37" s="34"/>
      <c r="W37" s="8"/>
      <c r="X37" s="9"/>
      <c r="Y37" s="9"/>
      <c r="Z37" s="9"/>
      <c r="AA37" s="34"/>
    </row>
    <row r="38" spans="1:9" ht="12.75" customHeight="1">
      <c r="A38" s="35"/>
      <c r="B38" s="11"/>
      <c r="C38" s="11" t="s">
        <v>21</v>
      </c>
      <c r="D38" s="8"/>
      <c r="E38" s="30" t="s">
        <v>88</v>
      </c>
      <c r="F38" s="11"/>
      <c r="G38" s="11"/>
      <c r="H38" s="14"/>
      <c r="I38" s="8"/>
    </row>
    <row r="39" spans="1:9" ht="12">
      <c r="A39" s="14" t="s">
        <v>57</v>
      </c>
      <c r="B39" s="15"/>
      <c r="C39" s="15">
        <f>C33+D57</f>
        <v>60749.659741904004</v>
      </c>
      <c r="E39" s="12" t="s">
        <v>83</v>
      </c>
      <c r="F39" s="12" t="s">
        <v>86</v>
      </c>
      <c r="G39" s="12" t="s">
        <v>84</v>
      </c>
      <c r="H39" s="45" t="s">
        <v>87</v>
      </c>
      <c r="I39" s="45" t="s">
        <v>85</v>
      </c>
    </row>
    <row r="40" spans="1:9" ht="12">
      <c r="A40" s="14" t="s">
        <v>82</v>
      </c>
      <c r="B40" s="15"/>
      <c r="C40" s="15">
        <f>C20</f>
        <v>60749.51782734333</v>
      </c>
      <c r="E40" s="12">
        <v>4</v>
      </c>
      <c r="F40" s="12">
        <v>550</v>
      </c>
      <c r="G40" s="12">
        <f>1418+1500</f>
        <v>2918</v>
      </c>
      <c r="H40" s="45">
        <f>F40-F40/(F40+F41)*0.5*(D58-G40)</f>
        <v>-163.9232903962502</v>
      </c>
      <c r="I40" s="45">
        <f>C27-(B15-H40)*12</f>
        <v>-13917.079484755002</v>
      </c>
    </row>
    <row r="41" spans="1:9" ht="12">
      <c r="A41" s="14" t="s">
        <v>28</v>
      </c>
      <c r="B41" s="15"/>
      <c r="C41" s="15">
        <f>C39-C40</f>
        <v>0.14191456067783292</v>
      </c>
      <c r="E41" s="12">
        <v>7</v>
      </c>
      <c r="F41" s="12">
        <v>170</v>
      </c>
      <c r="G41" s="12">
        <f>1418+515</f>
        <v>1933</v>
      </c>
      <c r="H41" s="45">
        <f>F41-F41/(F40+F41)*0.5*(D58-G41)</f>
        <v>-166.95192107197227</v>
      </c>
      <c r="I41" s="45">
        <f>C27-(B15-H41)*12</f>
        <v>-13953.423052863665</v>
      </c>
    </row>
    <row r="42" spans="1:9" ht="12">
      <c r="A42" s="6"/>
      <c r="B42" s="17"/>
      <c r="C42" s="17"/>
      <c r="H42" s="26" t="s">
        <v>13</v>
      </c>
      <c r="I42" s="45">
        <f>C27-(B15-H40-H41)*12</f>
        <v>-15920.502537618668</v>
      </c>
    </row>
    <row r="43" spans="2:9" ht="12">
      <c r="B43" s="18"/>
      <c r="C43" s="18"/>
      <c r="E43" s="18"/>
      <c r="H43" s="18"/>
      <c r="I43" s="18"/>
    </row>
    <row r="44" ht="15">
      <c r="A44" s="36" t="s">
        <v>76</v>
      </c>
    </row>
    <row r="45" ht="12">
      <c r="B45" s="8"/>
    </row>
    <row r="46" spans="1:9" s="13" customFormat="1" ht="12">
      <c r="A46" s="11"/>
      <c r="B46" s="11" t="s">
        <v>29</v>
      </c>
      <c r="C46" s="11" t="s">
        <v>30</v>
      </c>
      <c r="D46" s="11" t="s">
        <v>23</v>
      </c>
      <c r="F46" s="8"/>
      <c r="G46" s="37"/>
      <c r="H46" s="37"/>
      <c r="I46" s="37"/>
    </row>
    <row r="47" spans="1:9" s="46" customFormat="1" ht="12">
      <c r="A47" s="52" t="s">
        <v>55</v>
      </c>
      <c r="B47" s="52">
        <v>35</v>
      </c>
      <c r="C47" s="58">
        <v>35</v>
      </c>
      <c r="D47" s="52">
        <f>B47+C47</f>
        <v>70</v>
      </c>
      <c r="F47" s="16" t="s">
        <v>97</v>
      </c>
      <c r="G47" s="71"/>
      <c r="H47" s="71"/>
      <c r="I47" s="53"/>
    </row>
    <row r="48" spans="1:9" s="46" customFormat="1" ht="12">
      <c r="A48" s="52" t="s">
        <v>31</v>
      </c>
      <c r="B48" s="38">
        <v>18.17</v>
      </c>
      <c r="C48" s="59">
        <f>B48</f>
        <v>18.17</v>
      </c>
      <c r="D48" s="52"/>
      <c r="F48" s="77" t="s">
        <v>29</v>
      </c>
      <c r="G48" s="81" t="s">
        <v>30</v>
      </c>
      <c r="H48" s="81" t="s">
        <v>7</v>
      </c>
      <c r="I48" s="53"/>
    </row>
    <row r="49" spans="1:9" ht="3.75" customHeight="1">
      <c r="A49" s="10"/>
      <c r="B49" s="10"/>
      <c r="C49" s="11"/>
      <c r="D49" s="10"/>
      <c r="F49" s="16"/>
      <c r="G49" s="26"/>
      <c r="H49" s="26"/>
      <c r="I49" s="34"/>
    </row>
    <row r="50" spans="1:9" ht="12">
      <c r="A50" s="14" t="s">
        <v>81</v>
      </c>
      <c r="B50" s="15">
        <f>B48*B47*52</f>
        <v>33069.4</v>
      </c>
      <c r="C50" s="15">
        <f>C48*C47*52</f>
        <v>33069.4</v>
      </c>
      <c r="D50" s="15">
        <f aca="true" t="shared" si="0" ref="D50:D56">B50+C50</f>
        <v>66138.8</v>
      </c>
      <c r="F50" s="76" t="s">
        <v>52</v>
      </c>
      <c r="G50" s="71" t="s">
        <v>72</v>
      </c>
      <c r="H50" s="71">
        <v>4178</v>
      </c>
      <c r="I50" s="18"/>
    </row>
    <row r="51" spans="1:9" ht="12">
      <c r="A51" s="14" t="s">
        <v>18</v>
      </c>
      <c r="B51" s="15">
        <f>C27-11000</f>
        <v>-9800</v>
      </c>
      <c r="C51" s="15"/>
      <c r="D51" s="15"/>
      <c r="F51" s="76" t="s">
        <v>69</v>
      </c>
      <c r="G51" s="47" t="s">
        <v>71</v>
      </c>
      <c r="H51" s="71">
        <f>99*12</f>
        <v>1188</v>
      </c>
      <c r="I51" s="18"/>
    </row>
    <row r="52" spans="1:9" ht="12">
      <c r="A52" s="14" t="s">
        <v>33</v>
      </c>
      <c r="B52" s="15">
        <f>B50+B51</f>
        <v>23269.4</v>
      </c>
      <c r="C52" s="15">
        <f>C50+C51</f>
        <v>33069.4</v>
      </c>
      <c r="D52" s="60">
        <f t="shared" si="0"/>
        <v>56338.8</v>
      </c>
      <c r="F52" s="76" t="s">
        <v>70</v>
      </c>
      <c r="G52" s="76"/>
      <c r="H52" s="71"/>
      <c r="I52" s="18"/>
    </row>
    <row r="53" spans="1:9" ht="12">
      <c r="A53" s="14" t="s">
        <v>34</v>
      </c>
      <c r="B53" s="15">
        <f>B50*0.0173</f>
        <v>572.10062</v>
      </c>
      <c r="C53" s="15">
        <f>C50*0.0173</f>
        <v>572.10062</v>
      </c>
      <c r="D53" s="15">
        <f t="shared" si="0"/>
        <v>1144.20124</v>
      </c>
      <c r="E53" s="67"/>
      <c r="F53" s="77"/>
      <c r="G53" s="71" t="s">
        <v>98</v>
      </c>
      <c r="H53" s="80" t="s">
        <v>5</v>
      </c>
      <c r="I53" s="18"/>
    </row>
    <row r="54" spans="1:9" ht="12">
      <c r="A54" s="14" t="s">
        <v>35</v>
      </c>
      <c r="B54" s="15">
        <f>(B50-3500)*0.0495</f>
        <v>1463.6853</v>
      </c>
      <c r="C54" s="15">
        <f>(C50-3500)*0.0495</f>
        <v>1463.6853</v>
      </c>
      <c r="D54" s="15">
        <f t="shared" si="0"/>
        <v>2927.3706</v>
      </c>
      <c r="E54" s="67"/>
      <c r="F54" s="13"/>
      <c r="G54" s="18"/>
      <c r="H54" s="71" t="s">
        <v>6</v>
      </c>
      <c r="I54" s="18"/>
    </row>
    <row r="55" spans="1:7" ht="12">
      <c r="A55" s="14" t="s">
        <v>36</v>
      </c>
      <c r="B55" s="15">
        <f>B52*0.15-(10320+B53+B54+1044+(C16-B52*0.03))*0.15</f>
        <v>1345.7544120000007</v>
      </c>
      <c r="C55" s="15">
        <f>C52*0.15-(10320+C53+C54+1044+2089+2089+99*12+(109*3*2+120*8+20*8))*0.15</f>
        <v>1879.4421120000002</v>
      </c>
      <c r="D55" s="15">
        <f t="shared" si="0"/>
        <v>3225.196524000001</v>
      </c>
      <c r="E55" s="28" t="s">
        <v>67</v>
      </c>
      <c r="G55" s="47" t="s">
        <v>15</v>
      </c>
    </row>
    <row r="56" spans="1:7" ht="12">
      <c r="A56" s="14" t="s">
        <v>37</v>
      </c>
      <c r="B56" s="15">
        <f>(B52*0.0506-(9373+B53+B54+(C16-B52*0.03))*0.0506)-(389-(B52-17285)*0.032)</f>
        <v>357.2132216480002</v>
      </c>
      <c r="C56" s="15">
        <f>(C52*0.0506-(9373+C53+C54+(109*3*2+60*8))*0.0506)</f>
        <v>1038.6466724480001</v>
      </c>
      <c r="D56" s="15">
        <f t="shared" si="0"/>
        <v>1395.8598940960003</v>
      </c>
      <c r="E56" s="23">
        <f>389/0.032+17285</f>
        <v>29441.25</v>
      </c>
      <c r="G56" s="47" t="s">
        <v>17</v>
      </c>
    </row>
    <row r="57" spans="1:6" ht="12">
      <c r="A57" s="14" t="s">
        <v>38</v>
      </c>
      <c r="B57" s="15">
        <f>B50-SUM(B53:B56)</f>
        <v>29330.646446352002</v>
      </c>
      <c r="C57" s="15">
        <f>C50-SUM(C53:C56)</f>
        <v>28115.525295552</v>
      </c>
      <c r="D57" s="15">
        <f>B57+C57</f>
        <v>57446.17174190401</v>
      </c>
      <c r="E57" s="18"/>
      <c r="F57" s="18"/>
    </row>
    <row r="58" spans="1:4" ht="12">
      <c r="A58" s="14" t="s">
        <v>39</v>
      </c>
      <c r="B58" s="15">
        <f>B57/12</f>
        <v>2444.2205371960004</v>
      </c>
      <c r="C58" s="15">
        <f>C57/12</f>
        <v>2342.960441296</v>
      </c>
      <c r="D58" s="15">
        <f>B58+C58</f>
        <v>4787.180978492001</v>
      </c>
    </row>
    <row r="59" spans="1:13" ht="12">
      <c r="A59" s="6"/>
      <c r="B59" s="17"/>
      <c r="C59" s="17"/>
      <c r="D59" s="17"/>
      <c r="M59" s="46"/>
    </row>
    <row r="60" spans="2:4" ht="12">
      <c r="B60" s="18"/>
      <c r="C60" s="18"/>
      <c r="D60" s="18"/>
    </row>
    <row r="61" s="5" customFormat="1" ht="15">
      <c r="A61" s="5" t="s">
        <v>4</v>
      </c>
    </row>
    <row r="63" spans="1:4" ht="12">
      <c r="A63" t="s">
        <v>40</v>
      </c>
      <c r="D63" s="18">
        <f>D50</f>
        <v>66138.8</v>
      </c>
    </row>
    <row r="64" spans="1:4" ht="12">
      <c r="A64" t="s">
        <v>44</v>
      </c>
      <c r="D64" s="18">
        <f>SUM(B53:B56)+SUM(C53:C56)</f>
        <v>8692.628258096001</v>
      </c>
    </row>
    <row r="65" spans="1:4" ht="12">
      <c r="A65" t="s">
        <v>41</v>
      </c>
      <c r="D65" s="18">
        <f>D63-D64</f>
        <v>57446.171741904</v>
      </c>
    </row>
    <row r="66" spans="1:4" ht="12">
      <c r="A66" s="46" t="s">
        <v>11</v>
      </c>
      <c r="D66" s="18">
        <f>C33</f>
        <v>3303.488</v>
      </c>
    </row>
    <row r="67" spans="1:4" ht="12">
      <c r="A67" t="s">
        <v>53</v>
      </c>
      <c r="D67" s="18">
        <f>D65+D66</f>
        <v>60749.659741904</v>
      </c>
    </row>
    <row r="68" spans="1:4" ht="12">
      <c r="A68" t="s">
        <v>42</v>
      </c>
      <c r="D68" s="18">
        <f>C20</f>
        <v>60749.51782734333</v>
      </c>
    </row>
    <row r="69" spans="1:4" ht="12">
      <c r="A69" t="s">
        <v>43</v>
      </c>
      <c r="D69" s="18">
        <f>D67-D68</f>
        <v>0.14191456067055697</v>
      </c>
    </row>
    <row r="71" spans="3:9" ht="12.75" customHeight="1">
      <c r="C71" s="5"/>
      <c r="E71" s="5"/>
      <c r="F71" s="5"/>
      <c r="G71" s="5"/>
      <c r="H71" s="5"/>
      <c r="I71" s="5"/>
    </row>
    <row r="72" ht="12">
      <c r="B72" s="18"/>
    </row>
    <row r="73" spans="1:9" ht="12">
      <c r="A73" s="9"/>
      <c r="B73" s="13"/>
      <c r="C73" s="13"/>
      <c r="D73" s="13"/>
      <c r="E73" s="9"/>
      <c r="F73" s="9"/>
      <c r="G73" s="9"/>
      <c r="H73" s="9"/>
      <c r="I73" s="9"/>
    </row>
    <row r="74" spans="2:4" ht="12">
      <c r="B74" s="18"/>
      <c r="C74" s="39"/>
      <c r="D74" s="18"/>
    </row>
    <row r="75" spans="1:4" ht="15">
      <c r="A75" s="2"/>
      <c r="B75" s="18"/>
      <c r="C75" s="39"/>
      <c r="D75" s="18"/>
    </row>
    <row r="76" spans="2:3" ht="12">
      <c r="B76" s="18"/>
      <c r="C76" s="40"/>
    </row>
    <row r="77" spans="2:3" ht="12">
      <c r="B77" s="18"/>
      <c r="C77" s="40"/>
    </row>
    <row r="78" spans="2:6" ht="12">
      <c r="B78" s="8"/>
      <c r="C78" s="8"/>
      <c r="D78" s="8"/>
      <c r="E78" s="8"/>
      <c r="F78" s="8"/>
    </row>
    <row r="79" spans="2:6" ht="12">
      <c r="B79" s="8"/>
      <c r="C79" s="8"/>
      <c r="D79" s="8"/>
      <c r="E79" s="8"/>
      <c r="F79" s="8"/>
    </row>
    <row r="80" spans="2:6" ht="12">
      <c r="B80" s="8"/>
      <c r="C80" s="8"/>
      <c r="D80" s="8"/>
      <c r="E80" s="8"/>
      <c r="F80" s="8"/>
    </row>
    <row r="81" spans="4:6" ht="12">
      <c r="D81" s="29"/>
      <c r="E81" s="29"/>
      <c r="F81" s="44"/>
    </row>
    <row r="82" spans="4:6" ht="12">
      <c r="D82" s="29"/>
      <c r="E82" s="29"/>
      <c r="F82" s="44"/>
    </row>
    <row r="83" spans="4:6" ht="12">
      <c r="D83" s="29"/>
      <c r="E83" s="29"/>
      <c r="F83" s="44"/>
    </row>
    <row r="84" spans="4:6" ht="12">
      <c r="D84" s="29"/>
      <c r="E84" s="29"/>
      <c r="F84" s="44"/>
    </row>
    <row r="87" spans="2:6" ht="12">
      <c r="B87" s="8"/>
      <c r="C87" s="8"/>
      <c r="D87" s="8"/>
      <c r="E87" s="8"/>
      <c r="F87" s="8"/>
    </row>
    <row r="88" spans="2:6" ht="12">
      <c r="B88" s="8"/>
      <c r="C88" s="8"/>
      <c r="D88" s="8"/>
      <c r="E88" s="8"/>
      <c r="F88" s="8"/>
    </row>
    <row r="89" spans="2:6" ht="12">
      <c r="B89" s="8"/>
      <c r="C89" s="8"/>
      <c r="D89" s="8"/>
      <c r="E89" s="8"/>
      <c r="F89" s="8"/>
    </row>
    <row r="90" spans="4:6" ht="12">
      <c r="D90" s="29"/>
      <c r="E90" s="29"/>
      <c r="F90" s="44"/>
    </row>
    <row r="91" spans="4:6" ht="12">
      <c r="D91" s="29"/>
      <c r="E91" s="29"/>
      <c r="F91" s="44"/>
    </row>
    <row r="92" spans="4:6" ht="12">
      <c r="D92" s="29"/>
      <c r="E92" s="29"/>
      <c r="F92" s="44"/>
    </row>
    <row r="93" spans="4:6" ht="12">
      <c r="D93" s="29"/>
      <c r="E93" s="29"/>
      <c r="F93" s="44"/>
    </row>
    <row r="94" spans="2:3" ht="12">
      <c r="B94" s="18"/>
      <c r="C94" s="39"/>
    </row>
    <row r="95" spans="2:4" ht="12">
      <c r="B95" s="18"/>
      <c r="C95" s="18"/>
      <c r="D95" s="18"/>
    </row>
    <row r="96" spans="2:3" ht="12">
      <c r="B96" s="18"/>
      <c r="C96" s="40"/>
    </row>
    <row r="97" spans="2:3" ht="12">
      <c r="B97" s="18"/>
      <c r="C97" s="40"/>
    </row>
    <row r="98" spans="2:6" ht="12">
      <c r="B98" s="8"/>
      <c r="C98" s="8"/>
      <c r="D98" s="8"/>
      <c r="E98" s="8"/>
      <c r="F98" s="8"/>
    </row>
    <row r="99" spans="2:6" ht="12">
      <c r="B99" s="8"/>
      <c r="C99" s="8"/>
      <c r="D99" s="8"/>
      <c r="E99" s="8"/>
      <c r="F99" s="8"/>
    </row>
    <row r="100" spans="2:6" ht="12">
      <c r="B100" s="8"/>
      <c r="C100" s="8"/>
      <c r="D100" s="8"/>
      <c r="E100" s="8"/>
      <c r="F100" s="8"/>
    </row>
    <row r="101" spans="4:6" ht="12">
      <c r="D101" s="29"/>
      <c r="E101" s="29"/>
      <c r="F101" s="44"/>
    </row>
    <row r="102" spans="4:6" ht="12">
      <c r="D102" s="29"/>
      <c r="E102" s="29"/>
      <c r="F102" s="44"/>
    </row>
    <row r="103" spans="4:6" ht="12">
      <c r="D103" s="29"/>
      <c r="E103" s="29"/>
      <c r="F103" s="44"/>
    </row>
    <row r="104" spans="4:6" ht="12">
      <c r="D104" s="29"/>
      <c r="E104" s="29"/>
      <c r="F104" s="44"/>
    </row>
    <row r="107" spans="2:6" ht="12">
      <c r="B107" s="8"/>
      <c r="C107" s="8"/>
      <c r="D107" s="8"/>
      <c r="E107" s="8"/>
      <c r="F107" s="8"/>
    </row>
    <row r="108" spans="2:6" ht="12">
      <c r="B108" s="8"/>
      <c r="C108" s="8"/>
      <c r="D108" s="8"/>
      <c r="E108" s="8"/>
      <c r="F108" s="8"/>
    </row>
    <row r="109" spans="2:6" ht="12">
      <c r="B109" s="8"/>
      <c r="C109" s="8"/>
      <c r="D109" s="8"/>
      <c r="E109" s="8"/>
      <c r="F109" s="8"/>
    </row>
    <row r="110" spans="4:6" ht="12">
      <c r="D110" s="29"/>
      <c r="E110" s="29"/>
      <c r="F110" s="44"/>
    </row>
    <row r="111" spans="4:6" ht="12">
      <c r="D111" s="29"/>
      <c r="E111" s="29"/>
      <c r="F111" s="44"/>
    </row>
    <row r="112" spans="4:6" ht="12">
      <c r="D112" s="29"/>
      <c r="E112" s="29"/>
      <c r="F112" s="44"/>
    </row>
    <row r="113" spans="4:6" ht="12">
      <c r="D113" s="29"/>
      <c r="E113" s="29"/>
      <c r="F113" s="44"/>
    </row>
  </sheetData>
  <sheetProtection/>
  <printOptions gridLines="1"/>
  <pageMargins left="0.75" right="0.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0">
      <selection activeCell="I40" sqref="I40"/>
    </sheetView>
  </sheetViews>
  <sheetFormatPr defaultColWidth="8.8515625" defaultRowHeight="12.75"/>
  <cols>
    <col min="1" max="1" width="16.8515625" style="0" customWidth="1"/>
    <col min="2" max="4" width="8.8515625" style="0" customWidth="1"/>
    <col min="5" max="5" width="10.8515625" style="0" customWidth="1"/>
    <col min="6" max="6" width="10.140625" style="0" customWidth="1"/>
    <col min="7" max="7" width="11.421875" style="0" customWidth="1"/>
    <col min="8" max="8" width="10.421875" style="0" customWidth="1"/>
    <col min="9" max="9" width="8.421875" style="0" customWidth="1"/>
    <col min="10" max="10" width="8.8515625" style="0" customWidth="1"/>
    <col min="11" max="11" width="8.421875" style="0" customWidth="1"/>
    <col min="12" max="12" width="14.140625" style="0" customWidth="1"/>
    <col min="13" max="13" width="8.7109375" style="13" customWidth="1"/>
    <col min="14" max="14" width="8.8515625" style="0" customWidth="1"/>
    <col min="15" max="15" width="8.00390625" style="0" customWidth="1"/>
    <col min="16" max="16" width="7.421875" style="0" customWidth="1"/>
  </cols>
  <sheetData>
    <row r="1" spans="1:9" ht="16.5">
      <c r="A1" s="1" t="s">
        <v>1</v>
      </c>
      <c r="B1" s="1"/>
      <c r="C1" s="46"/>
      <c r="D1" s="46"/>
      <c r="E1" s="46"/>
      <c r="F1" s="46"/>
      <c r="G1" s="46"/>
      <c r="H1" s="46"/>
      <c r="I1" s="46"/>
    </row>
    <row r="2" spans="3:13" s="2" customFormat="1" ht="15" customHeight="1">
      <c r="C2" s="2" t="s">
        <v>100</v>
      </c>
      <c r="D2" s="3"/>
      <c r="E2" s="4"/>
      <c r="M2" s="41"/>
    </row>
    <row r="3" spans="1:10" ht="15">
      <c r="A3" s="47"/>
      <c r="C3" t="s">
        <v>101</v>
      </c>
      <c r="D3" s="3"/>
      <c r="E3" s="4"/>
      <c r="F3" s="2"/>
      <c r="G3" s="2"/>
      <c r="H3" s="2"/>
      <c r="I3" s="2"/>
      <c r="J3" s="2"/>
    </row>
    <row r="4" spans="1:10" ht="12.75" customHeight="1">
      <c r="A4" s="2"/>
      <c r="B4" s="46"/>
      <c r="C4" s="2"/>
      <c r="D4" s="3"/>
      <c r="E4" s="4"/>
      <c r="F4" s="2"/>
      <c r="G4" s="2"/>
      <c r="H4" s="2"/>
      <c r="I4" s="2"/>
      <c r="J4" s="2"/>
    </row>
    <row r="5" spans="2:16" ht="15">
      <c r="B5" s="5" t="s">
        <v>75</v>
      </c>
      <c r="M5" s="8"/>
      <c r="N5" s="9"/>
      <c r="O5" s="9"/>
      <c r="P5" s="9"/>
    </row>
    <row r="6" spans="3:17" ht="12.75" customHeight="1">
      <c r="C6" s="5"/>
      <c r="E6" s="6"/>
      <c r="F6" s="6"/>
      <c r="G6" s="6"/>
      <c r="H6" s="6"/>
      <c r="I6" s="6"/>
      <c r="J6" s="7"/>
      <c r="Q6" s="42"/>
    </row>
    <row r="7" spans="1:15" ht="12">
      <c r="A7" s="10" t="s">
        <v>19</v>
      </c>
      <c r="B7" s="11" t="s">
        <v>20</v>
      </c>
      <c r="C7" s="11" t="s">
        <v>21</v>
      </c>
      <c r="D7" s="12" t="s">
        <v>73</v>
      </c>
      <c r="E7" s="12" t="s">
        <v>78</v>
      </c>
      <c r="F7" s="7"/>
      <c r="G7" s="7"/>
      <c r="H7" s="48" t="s">
        <v>89</v>
      </c>
      <c r="I7" s="49">
        <f>B50</f>
        <v>32814.600000000006</v>
      </c>
      <c r="J7" s="7"/>
      <c r="L7" s="8"/>
      <c r="M7" s="8"/>
      <c r="N7" s="9"/>
      <c r="O7" s="9"/>
    </row>
    <row r="8" spans="1:16" ht="12">
      <c r="A8" s="14" t="s">
        <v>54</v>
      </c>
      <c r="B8" s="15"/>
      <c r="C8" s="15"/>
      <c r="D8" s="16" t="s">
        <v>74</v>
      </c>
      <c r="E8" s="12" t="s">
        <v>24</v>
      </c>
      <c r="F8" s="62"/>
      <c r="H8" s="50" t="s">
        <v>90</v>
      </c>
      <c r="I8" s="49">
        <f>C33</f>
        <v>11789.929046856</v>
      </c>
      <c r="J8" s="17"/>
      <c r="K8" s="18"/>
      <c r="L8" s="13"/>
      <c r="P8" s="22"/>
    </row>
    <row r="9" spans="1:19" ht="12">
      <c r="A9" s="14" t="s">
        <v>46</v>
      </c>
      <c r="B9" s="15">
        <f>((919*1092+862*1541)/(1092+1541))*((209.47+149.02)/871.86)</f>
        <v>364.1560196151661</v>
      </c>
      <c r="C9" s="15">
        <f>B9*12</f>
        <v>4369.872235381993</v>
      </c>
      <c r="D9" s="19">
        <f>C9/C20</f>
        <v>0.10541586398593857</v>
      </c>
      <c r="E9" s="51">
        <f>C9/B50</f>
        <v>0.13316853581582563</v>
      </c>
      <c r="F9" s="62"/>
      <c r="G9" s="72"/>
      <c r="H9" s="20" t="s">
        <v>91</v>
      </c>
      <c r="I9" s="21">
        <f>I7+I8</f>
        <v>44604.529046856005</v>
      </c>
      <c r="J9" s="7"/>
      <c r="K9" s="18"/>
      <c r="L9" s="13"/>
      <c r="M9" s="8"/>
      <c r="N9" s="42"/>
      <c r="O9" s="22"/>
      <c r="P9" s="22"/>
      <c r="S9" s="42"/>
    </row>
    <row r="10" spans="1:19" ht="12">
      <c r="A10" s="14" t="s">
        <v>47</v>
      </c>
      <c r="B10" s="15">
        <f>C10/12</f>
        <v>93.32223890557223</v>
      </c>
      <c r="C10" s="15">
        <f>2251/2*(1+(99.1-99.9)/99.9)*(1+(99.4-99.1)/99.1)</f>
        <v>1119.8668668668668</v>
      </c>
      <c r="D10" s="19">
        <f>C10/C20</f>
        <v>0.02701491644633342</v>
      </c>
      <c r="E10" s="51">
        <f>C10/B50</f>
        <v>0.03412709180873351</v>
      </c>
      <c r="F10" s="63"/>
      <c r="H10" s="13"/>
      <c r="I10" s="13"/>
      <c r="J10" s="17"/>
      <c r="K10" s="18"/>
      <c r="L10" s="13"/>
      <c r="M10" s="8"/>
      <c r="N10" s="42"/>
      <c r="O10" s="22"/>
      <c r="P10" s="22"/>
      <c r="S10" s="42"/>
    </row>
    <row r="11" spans="1:19" ht="12">
      <c r="A11" s="14" t="s">
        <v>48</v>
      </c>
      <c r="B11" s="15">
        <f>1073.21+102*(1+(122.1-115.1)/115.1)*(1+(116.9-122.1)/122.1)+37.41+30</f>
        <v>1244.2151346655085</v>
      </c>
      <c r="C11" s="15">
        <f>(B11)*12</f>
        <v>14930.581615986102</v>
      </c>
      <c r="D11" s="19">
        <f>C11/C20</f>
        <v>0.3601753268935473</v>
      </c>
      <c r="E11" s="51">
        <f>C11/B50</f>
        <v>0.45499812936882056</v>
      </c>
      <c r="F11" s="62"/>
      <c r="G11" s="42"/>
      <c r="H11" s="47" t="s">
        <v>92</v>
      </c>
      <c r="I11" s="23">
        <f>B55+B56</f>
        <v>1167.1046448320014</v>
      </c>
      <c r="J11" s="7"/>
      <c r="K11" s="18"/>
      <c r="L11" s="13"/>
      <c r="N11" s="42"/>
      <c r="O11" s="22"/>
      <c r="P11" s="22"/>
      <c r="S11" s="42"/>
    </row>
    <row r="12" spans="1:19" ht="12">
      <c r="A12" s="14" t="s">
        <v>50</v>
      </c>
      <c r="B12" s="15">
        <f>C12/12</f>
        <v>343.48575827559665</v>
      </c>
      <c r="C12" s="15">
        <f>4044*(1+(140-129.9)/129.9)*(1+(132.4-140)/140)</f>
        <v>4121.82909930716</v>
      </c>
      <c r="D12" s="19">
        <f>C12/C20</f>
        <v>0.09943223790108471</v>
      </c>
      <c r="E12" s="51">
        <f>C12/B50</f>
        <v>0.12560960972576715</v>
      </c>
      <c r="F12" s="63"/>
      <c r="H12" s="24" t="s">
        <v>93</v>
      </c>
      <c r="I12" s="23">
        <f>C33</f>
        <v>11789.929046856</v>
      </c>
      <c r="J12" s="43"/>
      <c r="K12" s="18"/>
      <c r="L12" s="13"/>
      <c r="N12" s="42"/>
      <c r="O12" s="22"/>
      <c r="P12" s="22"/>
      <c r="S12" s="42"/>
    </row>
    <row r="13" spans="1:19" ht="12">
      <c r="A13" s="14" t="s">
        <v>49</v>
      </c>
      <c r="B13" s="15">
        <f>C13/12</f>
        <v>334.41660697865973</v>
      </c>
      <c r="C13" s="15">
        <f>(C9+C10)*0.731</f>
        <v>4012.9992837439167</v>
      </c>
      <c r="D13" s="19">
        <f>C13/C20</f>
        <v>0.09680690049599083</v>
      </c>
      <c r="E13" s="51">
        <f>C13/B50</f>
        <v>0.12229310379355275</v>
      </c>
      <c r="F13" s="62"/>
      <c r="H13" s="25" t="s">
        <v>94</v>
      </c>
      <c r="I13" s="21">
        <f>I11-I12</f>
        <v>-10622.824402023998</v>
      </c>
      <c r="J13" s="17"/>
      <c r="K13" s="18"/>
      <c r="L13" s="13"/>
      <c r="N13" s="42"/>
      <c r="O13" s="22"/>
      <c r="P13" s="22"/>
      <c r="S13" s="42"/>
    </row>
    <row r="14" spans="1:19" s="28" customFormat="1" ht="12">
      <c r="A14" s="16" t="s">
        <v>68</v>
      </c>
      <c r="B14" s="26"/>
      <c r="C14" s="26">
        <f>SUM(C9:C13)</f>
        <v>28555.14910128604</v>
      </c>
      <c r="D14" s="27">
        <f>C14/C20</f>
        <v>0.6888452457228949</v>
      </c>
      <c r="E14" s="27">
        <f>C14/B50</f>
        <v>0.8701964705126997</v>
      </c>
      <c r="F14" s="61"/>
      <c r="G14" s="25"/>
      <c r="H14" s="24" t="s">
        <v>95</v>
      </c>
      <c r="I14" s="23">
        <f>B53+B54</f>
        <v>2018.7652800000005</v>
      </c>
      <c r="J14" s="25"/>
      <c r="K14" s="21"/>
      <c r="L14" s="13"/>
      <c r="M14" s="13"/>
      <c r="N14" s="42"/>
      <c r="O14" s="22"/>
      <c r="P14" s="22"/>
      <c r="Q14"/>
      <c r="R14"/>
      <c r="S14" s="42"/>
    </row>
    <row r="15" spans="1:19" ht="12">
      <c r="A15" s="14" t="s">
        <v>22</v>
      </c>
      <c r="B15" s="15">
        <v>750</v>
      </c>
      <c r="C15" s="15">
        <f>B15*12</f>
        <v>9000</v>
      </c>
      <c r="D15" s="19">
        <f>C15/C20</f>
        <v>0.21710995763026297</v>
      </c>
      <c r="E15" s="51">
        <f>C15/B50</f>
        <v>0.27426816112340235</v>
      </c>
      <c r="F15" s="62"/>
      <c r="G15" s="17"/>
      <c r="H15" s="28" t="s">
        <v>96</v>
      </c>
      <c r="I15" s="21">
        <f>I13+I14</f>
        <v>-8604.059122023998</v>
      </c>
      <c r="J15" s="17"/>
      <c r="K15" s="18"/>
      <c r="L15" s="13"/>
      <c r="N15" s="42"/>
      <c r="O15" s="22"/>
      <c r="P15" s="22"/>
      <c r="Q15" s="28"/>
      <c r="S15" s="42"/>
    </row>
    <row r="16" spans="1:19" ht="12">
      <c r="A16" s="14" t="s">
        <v>60</v>
      </c>
      <c r="B16" s="15">
        <v>71</v>
      </c>
      <c r="C16" s="15">
        <f>B16*12</f>
        <v>852</v>
      </c>
      <c r="D16" s="19">
        <f>C16/C20</f>
        <v>0.020553075988998228</v>
      </c>
      <c r="E16" s="51">
        <f>C16/B50</f>
        <v>0.025964052586348756</v>
      </c>
      <c r="F16" s="62"/>
      <c r="G16" s="6"/>
      <c r="H16" s="17"/>
      <c r="I16" s="17"/>
      <c r="J16" s="17"/>
      <c r="K16" s="18"/>
      <c r="L16" s="13"/>
      <c r="N16" s="42"/>
      <c r="O16" s="22"/>
      <c r="P16" s="22"/>
      <c r="S16" s="42"/>
    </row>
    <row r="17" spans="1:19" ht="12">
      <c r="A17" s="14" t="s">
        <v>51</v>
      </c>
      <c r="B17" s="15">
        <f>IF(B52-3000-(B15-550)*12/2&gt;30000,102,IF(B52-3000-(B15-550)*12/2&gt;28000,81.6,IF(B52-3000-(B15-550)*12/2&gt;26000,61.2,IF(B52-3000-(B15-550)*12/2&gt;24000,40.8,IF(B52-3000-(B15-550)*12/2&gt;22000,20.4,IF(B52-3000-(B15-550)*12/2&gt;1,0))))))</f>
        <v>61.2</v>
      </c>
      <c r="C17" s="15">
        <f>B17*12</f>
        <v>734.4000000000001</v>
      </c>
      <c r="D17" s="19">
        <f>C17/C20</f>
        <v>0.01771617254262946</v>
      </c>
      <c r="E17" s="51">
        <f>C17/B50</f>
        <v>0.022380281947669632</v>
      </c>
      <c r="F17" s="62"/>
      <c r="G17" s="17"/>
      <c r="H17" s="17"/>
      <c r="I17" s="17"/>
      <c r="J17" s="17"/>
      <c r="K17" s="18"/>
      <c r="L17" s="13"/>
      <c r="M17" s="70"/>
      <c r="N17" s="42"/>
      <c r="O17" s="22"/>
      <c r="P17" s="22"/>
      <c r="S17" s="42"/>
    </row>
    <row r="18" spans="1:19" ht="12">
      <c r="A18" s="14" t="s">
        <v>45</v>
      </c>
      <c r="B18" s="15">
        <f>C18/12</f>
        <v>105.17500000000001</v>
      </c>
      <c r="C18" s="15">
        <f>B47*B48*2</f>
        <v>1262.1000000000001</v>
      </c>
      <c r="D18" s="19">
        <f>C18/C20</f>
        <v>0.030446053058350547</v>
      </c>
      <c r="E18" s="51">
        <f>C18/B50</f>
        <v>0.03846153846153846</v>
      </c>
      <c r="F18" s="62"/>
      <c r="G18" s="17"/>
      <c r="H18" s="17"/>
      <c r="I18" s="17"/>
      <c r="J18" s="17"/>
      <c r="K18" s="18"/>
      <c r="L18" s="13"/>
      <c r="N18" s="42"/>
      <c r="O18" s="22"/>
      <c r="P18" s="22"/>
      <c r="S18" s="42"/>
    </row>
    <row r="19" spans="1:19" ht="12">
      <c r="A19" s="14" t="s">
        <v>77</v>
      </c>
      <c r="B19" s="15">
        <f>C19/12</f>
        <v>87.5</v>
      </c>
      <c r="C19" s="15">
        <v>1050</v>
      </c>
      <c r="D19" s="19">
        <f>C19/C20</f>
        <v>0.025329495056864014</v>
      </c>
      <c r="E19" s="51">
        <f>C19/B50</f>
        <v>0.03199795213106361</v>
      </c>
      <c r="F19" s="62"/>
      <c r="G19" s="17"/>
      <c r="H19" s="17"/>
      <c r="I19" s="17"/>
      <c r="J19" s="17"/>
      <c r="K19" s="18"/>
      <c r="L19" s="13"/>
      <c r="N19" s="42"/>
      <c r="O19" s="22"/>
      <c r="P19" s="22"/>
      <c r="S19" s="42"/>
    </row>
    <row r="20" spans="1:19" ht="12">
      <c r="A20" s="14" t="s">
        <v>23</v>
      </c>
      <c r="B20" s="15">
        <f>SUM(B8:B19)</f>
        <v>3454.4707584405032</v>
      </c>
      <c r="C20" s="15">
        <f>SUM(C9:C19)-C14</f>
        <v>41453.649101286035</v>
      </c>
      <c r="D20" s="19">
        <f>C20/C20</f>
        <v>1</v>
      </c>
      <c r="E20" s="19">
        <f>SUM(E9:E19)-E14</f>
        <v>1.2632684567627226</v>
      </c>
      <c r="F20" s="62"/>
      <c r="G20" s="17"/>
      <c r="H20" s="17"/>
      <c r="I20" s="43"/>
      <c r="J20" s="17"/>
      <c r="K20" s="18"/>
      <c r="L20" s="13"/>
      <c r="M20" s="54"/>
      <c r="N20" s="42"/>
      <c r="O20" s="22"/>
      <c r="P20" s="22"/>
      <c r="S20" s="42"/>
    </row>
    <row r="21" spans="1:19" ht="12">
      <c r="A21" s="6"/>
      <c r="B21" s="17"/>
      <c r="C21" s="17"/>
      <c r="D21" s="17"/>
      <c r="E21" s="17"/>
      <c r="F21" s="17"/>
      <c r="G21" s="17"/>
      <c r="H21" s="43"/>
      <c r="I21" s="17"/>
      <c r="J21" s="18"/>
      <c r="K21" s="18"/>
      <c r="L21" s="54"/>
      <c r="M21" s="54"/>
      <c r="N21" s="74"/>
      <c r="O21" s="75"/>
      <c r="P21" s="22"/>
      <c r="S21" s="42"/>
    </row>
    <row r="22" spans="2:19" ht="12">
      <c r="B22" s="18"/>
      <c r="C22" s="18"/>
      <c r="L22" s="54"/>
      <c r="M22" s="54"/>
      <c r="N22" s="74"/>
      <c r="O22" s="75"/>
      <c r="P22" s="22"/>
      <c r="S22" s="42"/>
    </row>
    <row r="23" spans="2:19" ht="15">
      <c r="B23" s="5" t="s">
        <v>58</v>
      </c>
      <c r="L23" s="13"/>
      <c r="N23" s="42"/>
      <c r="O23" s="22"/>
      <c r="P23" s="22"/>
      <c r="S23" s="42"/>
    </row>
    <row r="24" spans="3:19" ht="12.75" customHeight="1">
      <c r="C24" s="5"/>
      <c r="L24" s="13"/>
      <c r="N24" s="42"/>
      <c r="O24" s="22"/>
      <c r="P24" s="22"/>
      <c r="S24" s="42"/>
    </row>
    <row r="25" spans="1:16" ht="12">
      <c r="A25" s="30" t="s">
        <v>24</v>
      </c>
      <c r="B25" s="11" t="s">
        <v>20</v>
      </c>
      <c r="C25" s="11" t="s">
        <v>21</v>
      </c>
      <c r="D25" s="8"/>
      <c r="E25" s="31" t="s">
        <v>63</v>
      </c>
      <c r="F25" s="31" t="s">
        <v>64</v>
      </c>
      <c r="G25" s="31" t="s">
        <v>65</v>
      </c>
      <c r="H25" s="32" t="s">
        <v>66</v>
      </c>
      <c r="I25" s="8"/>
      <c r="L25" s="13"/>
      <c r="N25" s="42"/>
      <c r="O25" s="22"/>
      <c r="P25" s="22"/>
    </row>
    <row r="26" spans="1:16" ht="12">
      <c r="A26" s="14" t="s">
        <v>99</v>
      </c>
      <c r="B26" s="15">
        <f>C26/12</f>
        <v>216.50323333333327</v>
      </c>
      <c r="C26" s="15">
        <f>1340+(2076-(B52-C27-23710)*0.122)</f>
        <v>2598.0387999999994</v>
      </c>
      <c r="D26" s="69"/>
      <c r="E26" s="23">
        <f>1340-(B52-C27-40726)*0.02+(2076-(B52-C27-223710)*0.122)</f>
        <v>27204.266799999998</v>
      </c>
      <c r="F26" s="23">
        <f>C27+40726</f>
        <v>41926</v>
      </c>
      <c r="G26" s="23">
        <f>(1340)/0.02+C27+40726</f>
        <v>108926</v>
      </c>
      <c r="H26" s="23">
        <f>2076/0.122+C27+23710</f>
        <v>41926.39344262295</v>
      </c>
      <c r="K26" s="33"/>
      <c r="L26" s="13"/>
      <c r="N26" s="42"/>
      <c r="O26" s="22"/>
      <c r="P26" s="22"/>
    </row>
    <row r="27" spans="1:16" ht="12">
      <c r="A27" s="14" t="s">
        <v>52</v>
      </c>
      <c r="B27" s="15">
        <f>100</f>
        <v>100</v>
      </c>
      <c r="C27" s="15">
        <f>B27*12</f>
        <v>1200</v>
      </c>
      <c r="D27" s="68"/>
      <c r="K27" s="33"/>
      <c r="L27" s="13"/>
      <c r="N27" s="42"/>
      <c r="O27" s="22"/>
      <c r="P27" s="22"/>
    </row>
    <row r="28" spans="1:16" ht="12">
      <c r="A28" s="14" t="s">
        <v>25</v>
      </c>
      <c r="B28" s="15">
        <f>C28/12</f>
        <v>0</v>
      </c>
      <c r="C28" s="15">
        <v>0</v>
      </c>
      <c r="D28" s="68"/>
      <c r="G28" s="23">
        <v>35300</v>
      </c>
      <c r="H28" s="18"/>
      <c r="I28" s="18"/>
      <c r="L28" s="13"/>
      <c r="N28" s="42"/>
      <c r="O28" s="22"/>
      <c r="P28" s="22"/>
    </row>
    <row r="29" spans="1:15" ht="12">
      <c r="A29" s="14" t="s">
        <v>26</v>
      </c>
      <c r="B29" s="15">
        <f>(C29)/12</f>
        <v>52.166666666666664</v>
      </c>
      <c r="C29" s="15">
        <f>248+248+130</f>
        <v>626</v>
      </c>
      <c r="D29" s="67"/>
      <c r="E29" s="23">
        <f>(248+248+130)-(B52-C27-32312)*0.05</f>
        <v>720.8699999999997</v>
      </c>
      <c r="F29" s="33"/>
      <c r="G29" s="23">
        <f>(237+237+125+125)/0.05+C27+30936</f>
        <v>46616</v>
      </c>
      <c r="H29" s="18"/>
      <c r="I29" s="18"/>
      <c r="K29" s="47"/>
      <c r="L29" s="13"/>
      <c r="N29" s="42"/>
      <c r="O29" s="22"/>
    </row>
    <row r="30" spans="1:15" ht="12">
      <c r="A30" s="14" t="s">
        <v>3</v>
      </c>
      <c r="B30" s="15">
        <f>(975-0.3*(B50+C27)/12)*(0.35+0.01*(35000-(B50+C27))/((35000-10000)/55))</f>
        <v>46.324187237999936</v>
      </c>
      <c r="C30" s="15">
        <f>B30*12</f>
        <v>555.8902468559993</v>
      </c>
      <c r="D30" s="72">
        <f>(975-0.3*(B50+C27)/12)*(0.35+0.01*(35000-(B50+C27))/((35000-10000)/55))</f>
        <v>46.324187237999936</v>
      </c>
      <c r="E30" s="23">
        <f>(35000-10000)/55</f>
        <v>454.54545454545456</v>
      </c>
      <c r="F30" s="33">
        <f>B50*0.3-N36*12</f>
        <v>9844.380000000001</v>
      </c>
      <c r="G30" s="23">
        <f>(0.35+0.01*(35000-B50)/((35000-10000)/55))</f>
        <v>0.39807879999999984</v>
      </c>
      <c r="H30" s="18"/>
      <c r="I30" s="18"/>
      <c r="K30" s="47"/>
      <c r="L30" s="13"/>
      <c r="N30" s="42"/>
      <c r="O30" s="22"/>
    </row>
    <row r="31" spans="1:15" ht="12">
      <c r="A31" s="14" t="s">
        <v>2</v>
      </c>
      <c r="B31" s="15">
        <f>(C31)/12</f>
        <v>17.5</v>
      </c>
      <c r="C31" s="15">
        <f>105+105</f>
        <v>210</v>
      </c>
      <c r="D31" s="67">
        <f>105+31.5-(B52-35700)*0.02</f>
        <v>218.20799999999988</v>
      </c>
      <c r="E31" s="23"/>
      <c r="F31" s="33"/>
      <c r="G31" s="23"/>
      <c r="H31" s="18"/>
      <c r="I31" s="18"/>
      <c r="K31" s="47"/>
      <c r="L31" s="13"/>
      <c r="N31" s="42"/>
      <c r="O31" s="22"/>
    </row>
    <row r="32" spans="1:14" ht="12">
      <c r="A32" s="14" t="s">
        <v>27</v>
      </c>
      <c r="B32" s="15">
        <f>550</f>
        <v>550</v>
      </c>
      <c r="C32" s="15">
        <f>B32*12</f>
        <v>6600</v>
      </c>
      <c r="D32" s="23"/>
      <c r="E32" s="33"/>
      <c r="H32" s="18"/>
      <c r="J32" s="18"/>
      <c r="K32" s="33"/>
      <c r="L32" s="13"/>
      <c r="N32" s="42"/>
    </row>
    <row r="33" spans="1:13" ht="12">
      <c r="A33" s="14" t="s">
        <v>23</v>
      </c>
      <c r="B33" s="15">
        <f>SUM(B26:B32)</f>
        <v>982.4940872379998</v>
      </c>
      <c r="C33" s="15">
        <f>SUM(C26:C32)</f>
        <v>11789.929046856</v>
      </c>
      <c r="H33" s="18"/>
      <c r="I33" s="18"/>
      <c r="L33" s="13"/>
      <c r="M33" s="8"/>
    </row>
    <row r="34" spans="1:9" ht="12">
      <c r="A34" s="6"/>
      <c r="B34" s="17"/>
      <c r="C34" s="17"/>
      <c r="H34" s="18"/>
      <c r="I34" s="18"/>
    </row>
    <row r="35" spans="2:3" ht="12">
      <c r="B35" s="18"/>
      <c r="C35" s="18"/>
    </row>
    <row r="36" spans="2:14" ht="15">
      <c r="B36" s="5" t="s">
        <v>59</v>
      </c>
      <c r="L36" s="8"/>
      <c r="M36" s="8"/>
      <c r="N36" s="34"/>
    </row>
    <row r="37" ht="12.75" customHeight="1">
      <c r="A37" s="2"/>
    </row>
    <row r="38" spans="1:9" ht="12.75" customHeight="1">
      <c r="A38" s="35"/>
      <c r="B38" s="11"/>
      <c r="C38" s="11" t="s">
        <v>21</v>
      </c>
      <c r="D38" s="8"/>
      <c r="E38" s="30" t="s">
        <v>88</v>
      </c>
      <c r="F38" s="11"/>
      <c r="G38" s="11"/>
      <c r="H38" s="14"/>
      <c r="I38" s="83"/>
    </row>
    <row r="39" spans="1:9" ht="12">
      <c r="A39" s="14" t="s">
        <v>57</v>
      </c>
      <c r="B39" s="15"/>
      <c r="C39" s="15">
        <f>C33+B57</f>
        <v>41418.65912202401</v>
      </c>
      <c r="E39" s="12" t="s">
        <v>83</v>
      </c>
      <c r="F39" s="12" t="s">
        <v>86</v>
      </c>
      <c r="G39" s="12" t="s">
        <v>84</v>
      </c>
      <c r="H39" s="45" t="s">
        <v>87</v>
      </c>
      <c r="I39" s="45" t="s">
        <v>85</v>
      </c>
    </row>
    <row r="40" spans="1:9" ht="12">
      <c r="A40" s="14" t="s">
        <v>56</v>
      </c>
      <c r="B40" s="15"/>
      <c r="C40" s="15">
        <f>C20</f>
        <v>41453.649101286035</v>
      </c>
      <c r="E40" s="12">
        <v>4</v>
      </c>
      <c r="F40" s="12">
        <v>550</v>
      </c>
      <c r="G40" s="12">
        <f>1082+1500</f>
        <v>2582</v>
      </c>
      <c r="H40" s="45">
        <f>F40-F40/F40*0.5*(B58-G40)</f>
        <v>606.4695802013332</v>
      </c>
      <c r="I40" s="45">
        <f>C27-(B15-H40)*12</f>
        <v>-522.3650375840016</v>
      </c>
    </row>
    <row r="41" spans="1:9" ht="12">
      <c r="A41" s="14" t="s">
        <v>28</v>
      </c>
      <c r="B41" s="15"/>
      <c r="C41" s="15">
        <f>C39-C40</f>
        <v>-34.98997926202719</v>
      </c>
      <c r="E41" s="84" t="s">
        <v>14</v>
      </c>
      <c r="F41" s="85"/>
      <c r="G41" s="45">
        <f>(B50-B53-B54-B55-B56)/12</f>
        <v>2469.0608395973336</v>
      </c>
      <c r="H41" s="18"/>
      <c r="I41" s="18"/>
    </row>
    <row r="42" spans="1:9" ht="12">
      <c r="A42" s="6"/>
      <c r="B42" s="17"/>
      <c r="C42" s="17"/>
      <c r="H42" s="18"/>
      <c r="I42" s="18"/>
    </row>
    <row r="43" spans="2:9" ht="12">
      <c r="B43" s="18"/>
      <c r="C43" s="18"/>
      <c r="E43" s="18"/>
      <c r="H43" s="18"/>
      <c r="I43" s="18"/>
    </row>
    <row r="44" ht="15">
      <c r="A44" s="36" t="s">
        <v>76</v>
      </c>
    </row>
    <row r="45" ht="12">
      <c r="B45" s="8"/>
    </row>
    <row r="46" spans="1:9" s="13" customFormat="1" ht="12">
      <c r="A46" s="11"/>
      <c r="B46" s="11" t="s">
        <v>29</v>
      </c>
      <c r="C46" s="7"/>
      <c r="D46" s="7"/>
      <c r="F46" s="8"/>
      <c r="G46" s="37"/>
      <c r="H46" s="37"/>
      <c r="I46" s="37"/>
    </row>
    <row r="47" spans="1:13" s="46" customFormat="1" ht="12">
      <c r="A47" s="52" t="s">
        <v>55</v>
      </c>
      <c r="B47" s="52">
        <v>35</v>
      </c>
      <c r="C47"/>
      <c r="D47"/>
      <c r="E47" s="16" t="s">
        <v>8</v>
      </c>
      <c r="F47" s="71"/>
      <c r="G47" s="71"/>
      <c r="H47" s="72"/>
      <c r="I47" s="53"/>
      <c r="M47" s="54"/>
    </row>
    <row r="48" spans="1:13" s="46" customFormat="1" ht="12">
      <c r="A48" s="52" t="s">
        <v>31</v>
      </c>
      <c r="B48" s="38">
        <v>18.03</v>
      </c>
      <c r="C48"/>
      <c r="D48"/>
      <c r="E48" s="77" t="s">
        <v>12</v>
      </c>
      <c r="F48" s="81"/>
      <c r="G48" s="81" t="s">
        <v>7</v>
      </c>
      <c r="H48" s="72"/>
      <c r="I48" s="53"/>
      <c r="M48" s="54"/>
    </row>
    <row r="49" spans="1:9" ht="3.75" customHeight="1">
      <c r="A49" s="10"/>
      <c r="B49" s="10"/>
      <c r="E49" s="16"/>
      <c r="F49" s="26"/>
      <c r="G49" s="26"/>
      <c r="H49" s="25"/>
      <c r="I49" s="34"/>
    </row>
    <row r="50" spans="1:9" ht="12">
      <c r="A50" s="14" t="s">
        <v>32</v>
      </c>
      <c r="B50" s="15">
        <f>B48*B47*52</f>
        <v>32814.600000000006</v>
      </c>
      <c r="C50" s="67"/>
      <c r="E50" s="76" t="s">
        <v>52</v>
      </c>
      <c r="F50" s="71" t="s">
        <v>72</v>
      </c>
      <c r="G50" s="71">
        <v>2089</v>
      </c>
      <c r="H50" s="72"/>
      <c r="I50" s="18"/>
    </row>
    <row r="51" spans="1:9" ht="12">
      <c r="A51" s="14" t="s">
        <v>18</v>
      </c>
      <c r="B51" s="15">
        <f>C27-(C15-F40*12)</f>
        <v>-1200</v>
      </c>
      <c r="C51" s="67"/>
      <c r="E51" s="76" t="s">
        <v>69</v>
      </c>
      <c r="F51" s="76" t="s">
        <v>9</v>
      </c>
      <c r="G51" s="14"/>
      <c r="H51" s="72"/>
      <c r="I51" s="18"/>
    </row>
    <row r="52" spans="1:9" ht="12">
      <c r="A52" s="14" t="s">
        <v>33</v>
      </c>
      <c r="B52" s="15">
        <f>B50+B51</f>
        <v>31614.600000000006</v>
      </c>
      <c r="C52" s="67"/>
      <c r="E52" s="76" t="s">
        <v>70</v>
      </c>
      <c r="F52" s="71" t="s">
        <v>98</v>
      </c>
      <c r="G52" s="80" t="s">
        <v>5</v>
      </c>
      <c r="H52" s="72"/>
      <c r="I52" s="18"/>
    </row>
    <row r="53" spans="1:9" ht="12">
      <c r="A53" s="14" t="s">
        <v>34</v>
      </c>
      <c r="B53" s="15">
        <f>B50*0.0173</f>
        <v>567.6925800000001</v>
      </c>
      <c r="C53" s="67"/>
      <c r="E53" s="82"/>
      <c r="G53" s="76" t="s">
        <v>10</v>
      </c>
      <c r="H53" s="49"/>
      <c r="I53" s="18"/>
    </row>
    <row r="54" spans="1:9" ht="12">
      <c r="A54" s="14" t="s">
        <v>35</v>
      </c>
      <c r="B54" s="15">
        <f>(B50-3500)*0.0495</f>
        <v>1451.0727000000004</v>
      </c>
      <c r="C54" s="67"/>
      <c r="E54" s="13"/>
      <c r="H54" s="18"/>
      <c r="I54" s="18"/>
    </row>
    <row r="55" spans="1:7" ht="12">
      <c r="A55" s="14" t="s">
        <v>36</v>
      </c>
      <c r="B55" s="15">
        <f>B52*0.15-(10320+10320+2089+B53+B54+1044+(109*3*2+120*8+20*8))*0.15</f>
        <v>607.3252080000011</v>
      </c>
      <c r="C55" s="67"/>
      <c r="E55" s="28" t="s">
        <v>67</v>
      </c>
      <c r="G55" s="47" t="s">
        <v>16</v>
      </c>
    </row>
    <row r="56" spans="1:7" ht="12">
      <c r="A56" s="14" t="s">
        <v>37</v>
      </c>
      <c r="B56" s="15">
        <f>(B52*0.0506-(9373+8026+B53+B54+(109*3*2+60*8))*0.0506)</f>
        <v>559.7794368320003</v>
      </c>
      <c r="C56" s="69"/>
      <c r="E56" s="23">
        <f>389/0.032+17285</f>
        <v>29441.25</v>
      </c>
      <c r="G56" s="47" t="s">
        <v>17</v>
      </c>
    </row>
    <row r="57" spans="1:5" ht="12">
      <c r="A57" s="14" t="s">
        <v>38</v>
      </c>
      <c r="B57" s="15">
        <f>B50-SUM(B53:B56)</f>
        <v>29628.730075168005</v>
      </c>
      <c r="C57" s="67"/>
      <c r="E57" s="18"/>
    </row>
    <row r="58" spans="1:3" ht="12">
      <c r="A58" s="14" t="s">
        <v>39</v>
      </c>
      <c r="B58" s="15">
        <f>B57/12</f>
        <v>2469.0608395973336</v>
      </c>
      <c r="C58" s="69"/>
    </row>
    <row r="59" spans="1:4" ht="12">
      <c r="A59" s="6"/>
      <c r="B59" s="17"/>
      <c r="C59" s="17"/>
      <c r="D59" s="17"/>
    </row>
    <row r="60" spans="2:4" ht="12">
      <c r="B60" s="18"/>
      <c r="C60" s="18"/>
      <c r="D60" s="18"/>
    </row>
    <row r="61" spans="1:13" s="9" customFormat="1" ht="15">
      <c r="A61" s="5" t="s">
        <v>4</v>
      </c>
      <c r="M61" s="8"/>
    </row>
    <row r="63" spans="1:4" ht="12">
      <c r="A63" t="s">
        <v>40</v>
      </c>
      <c r="D63" s="18">
        <f>B50</f>
        <v>32814.600000000006</v>
      </c>
    </row>
    <row r="64" spans="1:4" ht="12">
      <c r="A64" t="s">
        <v>44</v>
      </c>
      <c r="D64" s="18">
        <f>SUM(B53:B56)</f>
        <v>3185.8699248320017</v>
      </c>
    </row>
    <row r="65" spans="1:4" ht="12">
      <c r="A65" t="s">
        <v>41</v>
      </c>
      <c r="D65" s="18">
        <f>D63-D64</f>
        <v>29628.730075168005</v>
      </c>
    </row>
    <row r="66" spans="1:4" ht="12">
      <c r="A66" s="46" t="s">
        <v>11</v>
      </c>
      <c r="D66" s="18">
        <f>C33</f>
        <v>11789.929046856</v>
      </c>
    </row>
    <row r="67" spans="1:4" ht="12">
      <c r="A67" t="s">
        <v>53</v>
      </c>
      <c r="D67" s="18">
        <f>D65+D66</f>
        <v>41418.65912202401</v>
      </c>
    </row>
    <row r="68" spans="1:4" ht="12">
      <c r="A68" t="s">
        <v>42</v>
      </c>
      <c r="D68" s="18">
        <f>C20</f>
        <v>41453.649101286035</v>
      </c>
    </row>
    <row r="69" spans="1:4" ht="12">
      <c r="A69" t="s">
        <v>43</v>
      </c>
      <c r="D69" s="18">
        <f>D67-D68</f>
        <v>-34.98997926202719</v>
      </c>
    </row>
    <row r="71" spans="1:9" ht="12.75" customHeight="1">
      <c r="A71" t="s">
        <v>80</v>
      </c>
      <c r="B71" s="18">
        <f>B52*0.15-(10320+10320+2089+B53+B54+1044+(109*3*2+120*8+20*8))*0.15</f>
        <v>607.3252080000011</v>
      </c>
      <c r="C71" s="5"/>
      <c r="E71" s="5"/>
      <c r="F71" s="5"/>
      <c r="G71" s="5"/>
      <c r="H71" s="5"/>
      <c r="I71" s="5"/>
    </row>
    <row r="72" spans="1:2" ht="12">
      <c r="A72" t="s">
        <v>61</v>
      </c>
      <c r="B72" s="18">
        <f>(B52*0.0506-(9373+8026+B53+B54+(109*3*2+60*8))*0.0506)</f>
        <v>559.7794368320003</v>
      </c>
    </row>
    <row r="73" spans="1:9" ht="12">
      <c r="A73" s="9"/>
      <c r="B73" s="13"/>
      <c r="C73" s="13"/>
      <c r="D73" s="13"/>
      <c r="E73" s="9"/>
      <c r="F73" s="9"/>
      <c r="G73" s="9"/>
      <c r="H73" s="9"/>
      <c r="I73" s="9"/>
    </row>
    <row r="74" spans="2:4" ht="12">
      <c r="B74" s="18"/>
      <c r="C74" s="39"/>
      <c r="D74" s="18"/>
    </row>
    <row r="75" spans="1:4" ht="15">
      <c r="A75" s="2"/>
      <c r="B75" s="18"/>
      <c r="C75" s="39"/>
      <c r="D75" s="18"/>
    </row>
    <row r="76" spans="2:3" ht="12">
      <c r="B76" s="18"/>
      <c r="C76" s="40"/>
    </row>
    <row r="77" spans="2:3" ht="12">
      <c r="B77" s="18"/>
      <c r="C77" s="40"/>
    </row>
    <row r="78" spans="2:6" ht="12">
      <c r="B78" s="8"/>
      <c r="C78" s="8"/>
      <c r="D78" s="8"/>
      <c r="E78" s="8"/>
      <c r="F78" s="8"/>
    </row>
    <row r="79" spans="2:6" ht="12">
      <c r="B79" s="8"/>
      <c r="C79" s="8"/>
      <c r="D79" s="8"/>
      <c r="E79" s="8"/>
      <c r="F79" s="8"/>
    </row>
    <row r="80" spans="2:6" ht="12">
      <c r="B80" s="8"/>
      <c r="C80" s="8"/>
      <c r="D80" s="8"/>
      <c r="E80" s="8"/>
      <c r="F80" s="8"/>
    </row>
    <row r="81" spans="4:6" ht="12">
      <c r="D81" s="29"/>
      <c r="E81" s="29"/>
      <c r="F81" s="44"/>
    </row>
    <row r="82" spans="4:6" ht="12">
      <c r="D82" s="29"/>
      <c r="E82" s="29"/>
      <c r="F82" s="44"/>
    </row>
    <row r="83" spans="4:6" ht="12">
      <c r="D83" s="29"/>
      <c r="E83" s="29"/>
      <c r="F83" s="44"/>
    </row>
    <row r="84" spans="4:6" ht="12">
      <c r="D84" s="29"/>
      <c r="E84" s="29"/>
      <c r="F84" s="44"/>
    </row>
    <row r="87" spans="2:6" ht="12">
      <c r="B87" s="8"/>
      <c r="C87" s="8"/>
      <c r="D87" s="8"/>
      <c r="E87" s="8"/>
      <c r="F87" s="8"/>
    </row>
    <row r="88" spans="2:6" ht="12">
      <c r="B88" s="8"/>
      <c r="C88" s="8"/>
      <c r="D88" s="8"/>
      <c r="E88" s="8"/>
      <c r="F88" s="8"/>
    </row>
    <row r="89" spans="2:6" ht="12">
      <c r="B89" s="8"/>
      <c r="C89" s="8"/>
      <c r="D89" s="8"/>
      <c r="E89" s="8"/>
      <c r="F89" s="8"/>
    </row>
    <row r="90" spans="4:6" ht="12">
      <c r="D90" s="29"/>
      <c r="E90" s="29"/>
      <c r="F90" s="44"/>
    </row>
    <row r="91" spans="4:6" ht="12">
      <c r="D91" s="29"/>
      <c r="E91" s="29"/>
      <c r="F91" s="44"/>
    </row>
    <row r="92" spans="4:6" ht="12">
      <c r="D92" s="29"/>
      <c r="E92" s="29"/>
      <c r="F92" s="44"/>
    </row>
    <row r="93" spans="4:6" ht="12">
      <c r="D93" s="29"/>
      <c r="E93" s="29"/>
      <c r="F93" s="44"/>
    </row>
    <row r="94" spans="2:3" ht="12">
      <c r="B94" s="18"/>
      <c r="C94" s="39"/>
    </row>
    <row r="95" spans="2:4" ht="12">
      <c r="B95" s="18"/>
      <c r="C95" s="18"/>
      <c r="D95" s="18"/>
    </row>
    <row r="96" spans="2:3" ht="12">
      <c r="B96" s="18"/>
      <c r="C96" s="40"/>
    </row>
    <row r="97" spans="2:3" ht="12">
      <c r="B97" s="18"/>
      <c r="C97" s="40"/>
    </row>
    <row r="98" spans="2:6" ht="12">
      <c r="B98" s="8"/>
      <c r="C98" s="8"/>
      <c r="D98" s="8"/>
      <c r="E98" s="8"/>
      <c r="F98" s="8"/>
    </row>
    <row r="99" spans="2:6" ht="12">
      <c r="B99" s="8"/>
      <c r="C99" s="8"/>
      <c r="D99" s="8"/>
      <c r="E99" s="8"/>
      <c r="F99" s="8"/>
    </row>
    <row r="100" spans="2:6" ht="12">
      <c r="B100" s="8"/>
      <c r="C100" s="8"/>
      <c r="D100" s="8"/>
      <c r="E100" s="8"/>
      <c r="F100" s="8"/>
    </row>
    <row r="101" spans="4:6" ht="12">
      <c r="D101" s="29"/>
      <c r="E101" s="29"/>
      <c r="F101" s="44"/>
    </row>
    <row r="102" spans="4:6" ht="12">
      <c r="D102" s="29"/>
      <c r="E102" s="29"/>
      <c r="F102" s="44"/>
    </row>
    <row r="103" spans="4:6" ht="12">
      <c r="D103" s="29"/>
      <c r="E103" s="29"/>
      <c r="F103" s="44"/>
    </row>
    <row r="104" spans="4:6" ht="12">
      <c r="D104" s="29"/>
      <c r="E104" s="29"/>
      <c r="F104" s="44"/>
    </row>
    <row r="107" spans="2:6" ht="12">
      <c r="B107" s="8"/>
      <c r="C107" s="8"/>
      <c r="D107" s="8"/>
      <c r="E107" s="8"/>
      <c r="F107" s="8"/>
    </row>
    <row r="108" spans="2:6" ht="12">
      <c r="B108" s="8"/>
      <c r="C108" s="8"/>
      <c r="D108" s="8"/>
      <c r="E108" s="8"/>
      <c r="F108" s="8"/>
    </row>
    <row r="109" spans="2:6" ht="12">
      <c r="B109" s="8"/>
      <c r="C109" s="8"/>
      <c r="D109" s="8"/>
      <c r="E109" s="8"/>
      <c r="F109" s="8"/>
    </row>
    <row r="110" spans="4:6" ht="12">
      <c r="D110" s="29"/>
      <c r="E110" s="29"/>
      <c r="F110" s="44"/>
    </row>
    <row r="111" spans="4:6" ht="12">
      <c r="D111" s="29"/>
      <c r="E111" s="29"/>
      <c r="F111" s="44"/>
    </row>
    <row r="112" spans="4:6" ht="12">
      <c r="D112" s="29"/>
      <c r="E112" s="29"/>
      <c r="F112" s="44"/>
    </row>
    <row r="113" spans="4:6" ht="12">
      <c r="D113" s="29"/>
      <c r="E113" s="29"/>
      <c r="F113" s="44"/>
    </row>
  </sheetData>
  <sheetProtection/>
  <printOptions gridLines="1"/>
  <pageMargins left="0.5" right="0.5" top="0.25" bottom="0.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1">
      <selection activeCell="A1" sqref="A1:E11"/>
    </sheetView>
  </sheetViews>
  <sheetFormatPr defaultColWidth="8.8515625" defaultRowHeight="12.75"/>
  <cols>
    <col min="1" max="1" width="15.7109375" style="0" customWidth="1"/>
    <col min="2" max="2" width="12.421875" style="0" customWidth="1"/>
    <col min="3" max="3" width="10.421875" style="0" customWidth="1"/>
  </cols>
  <sheetData>
    <row r="1" s="1" customFormat="1" ht="16.5"/>
    <row r="3" s="9" customFormat="1" ht="12"/>
    <row r="4" spans="2:5" s="9" customFormat="1" ht="12">
      <c r="B4" s="8"/>
      <c r="C4" s="8"/>
      <c r="D4" s="65"/>
      <c r="E4" s="8"/>
    </row>
    <row r="5" spans="2:5" s="9" customFormat="1" ht="12">
      <c r="B5" s="8"/>
      <c r="C5" s="8"/>
      <c r="D5" s="8"/>
      <c r="E5" s="8"/>
    </row>
    <row r="6" spans="1:5" ht="12">
      <c r="A6" s="46"/>
      <c r="B6" s="17"/>
      <c r="C6" s="13"/>
      <c r="D6" s="78"/>
      <c r="E6" s="79"/>
    </row>
    <row r="7" spans="1:5" ht="12">
      <c r="A7" s="46"/>
      <c r="B7" s="17"/>
      <c r="C7" s="13"/>
      <c r="D7" s="78"/>
      <c r="E7" s="79"/>
    </row>
    <row r="8" spans="1:5" ht="12">
      <c r="A8" s="46"/>
      <c r="B8" s="17"/>
      <c r="C8" s="54"/>
      <c r="D8" s="78"/>
      <c r="E8" s="79"/>
    </row>
    <row r="9" spans="1:5" ht="12">
      <c r="A9" s="46"/>
      <c r="B9" s="17"/>
      <c r="C9" s="13"/>
      <c r="D9" s="78"/>
      <c r="E9" s="79"/>
    </row>
    <row r="10" spans="1:5" ht="12">
      <c r="A10" s="46"/>
      <c r="B10" s="17"/>
      <c r="C10" s="13"/>
      <c r="D10" s="78"/>
      <c r="E10" s="79"/>
    </row>
    <row r="11" spans="1:5" ht="12">
      <c r="A11" s="46"/>
      <c r="C11" s="13"/>
      <c r="D11" s="78"/>
      <c r="E11" s="79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UVic Faculty of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Richards</dc:creator>
  <cp:keywords/>
  <dc:description/>
  <cp:lastModifiedBy>Terra Poirier</cp:lastModifiedBy>
  <cp:lastPrinted>2010-03-09T00:44:34Z</cp:lastPrinted>
  <dcterms:created xsi:type="dcterms:W3CDTF">2008-06-30T20:22:33Z</dcterms:created>
  <dcterms:modified xsi:type="dcterms:W3CDTF">2010-05-13T01:33:43Z</dcterms:modified>
  <cp:category/>
  <cp:version/>
  <cp:contentType/>
  <cp:contentStatus/>
</cp:coreProperties>
</file>