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e\OneDrive - University of Manitoba\Living Wage 2022\Final Draft August 2022\"/>
    </mc:Choice>
  </mc:AlternateContent>
  <xr:revisionPtr revIDLastSave="0" documentId="8_{97E71F4D-2871-450B-8A74-F4E74280561F}" xr6:coauthVersionLast="36" xr6:coauthVersionMax="36" xr10:uidLastSave="{00000000-0000-0000-0000-000000000000}"/>
  <bookViews>
    <workbookView xWindow="9600" yWindow="1728" windowWidth="9600" windowHeight="5448" tabRatio="661" xr2:uid="{00000000-000D-0000-FFFF-FFFF00000000}"/>
  </bookViews>
  <sheets>
    <sheet name="Results" sheetId="27" r:id="rId1"/>
    <sheet name="Detailed results" sheetId="8" r:id="rId2"/>
    <sheet name="2022 2P2C WPG" sheetId="12" r:id="rId3"/>
    <sheet name="2020 2P2C WPG" sheetId="14" r:id="rId4"/>
    <sheet name="2022 1P1C WPG" sheetId="13" r:id="rId5"/>
    <sheet name="2020 1P1C WPG" sheetId="15" r:id="rId6"/>
    <sheet name="2022 1P WPG" sheetId="30" r:id="rId7"/>
    <sheet name="2020 1P WPG" sheetId="38" r:id="rId8"/>
    <sheet name="2022 2P2C Bran" sheetId="22" r:id="rId9"/>
    <sheet name="2020 2P2C Bran" sheetId="18" r:id="rId10"/>
    <sheet name="2022 1P1C Bran" sheetId="24" r:id="rId11"/>
    <sheet name="2020 1P1C Bran" sheetId="19" r:id="rId12"/>
    <sheet name="2022 1P Bran" sheetId="32" r:id="rId13"/>
    <sheet name="2020 1P Bran" sheetId="39" r:id="rId14"/>
    <sheet name="2022 2P2C Thom" sheetId="25" r:id="rId15"/>
    <sheet name="2020 2P2C Thom" sheetId="20" r:id="rId16"/>
    <sheet name="2022 1P1C Thom" sheetId="26" r:id="rId17"/>
    <sheet name="2020 1P1C Thom" sheetId="21" r:id="rId18"/>
    <sheet name="2022 1P Thom" sheetId="34" r:id="rId19"/>
    <sheet name="2020 1P Thom" sheetId="40" r:id="rId20"/>
    <sheet name="2022Adult education" sheetId="37" r:id="rId21"/>
  </sheets>
  <calcPr calcId="191029" iterate="1"/>
</workbook>
</file>

<file path=xl/calcChain.xml><?xml version="1.0" encoding="utf-8"?>
<calcChain xmlns="http://schemas.openxmlformats.org/spreadsheetml/2006/main">
  <c r="D7" i="8" l="1"/>
  <c r="D8" i="8" l="1"/>
  <c r="D9" i="8"/>
  <c r="D10" i="8"/>
  <c r="D11" i="8"/>
  <c r="D12" i="8"/>
  <c r="D13" i="8"/>
  <c r="D14" i="8"/>
  <c r="D15" i="8"/>
  <c r="D16" i="8"/>
  <c r="D17" i="8"/>
  <c r="D18" i="8"/>
  <c r="AK41" i="8" l="1"/>
  <c r="AL41" i="8"/>
  <c r="AL49" i="8"/>
  <c r="AK49" i="8"/>
  <c r="AL48" i="8"/>
  <c r="AK48" i="8"/>
  <c r="AL45" i="8"/>
  <c r="AK45" i="8"/>
  <c r="AL43" i="8"/>
  <c r="AK43" i="8"/>
  <c r="AL42" i="8"/>
  <c r="AK42" i="8"/>
  <c r="AL35" i="8"/>
  <c r="AK35" i="8"/>
  <c r="AL24" i="8"/>
  <c r="AK24" i="8"/>
  <c r="AL23" i="8"/>
  <c r="AK23" i="8"/>
  <c r="AL18" i="8"/>
  <c r="AM18" i="8" s="1"/>
  <c r="AN18" i="8" s="1"/>
  <c r="AK18" i="8"/>
  <c r="AL17" i="8"/>
  <c r="AK17" i="8"/>
  <c r="AL16" i="8"/>
  <c r="AK16" i="8"/>
  <c r="AL15" i="8"/>
  <c r="AK15" i="8"/>
  <c r="AL14" i="8"/>
  <c r="AM14" i="8" s="1"/>
  <c r="AK14" i="8"/>
  <c r="AL13" i="8"/>
  <c r="AK13" i="8"/>
  <c r="AL12" i="8"/>
  <c r="AK12" i="8"/>
  <c r="AL11" i="8"/>
  <c r="AK11" i="8"/>
  <c r="AL10" i="8"/>
  <c r="AM10" i="8" s="1"/>
  <c r="AN10" i="8" s="1"/>
  <c r="AK10" i="8"/>
  <c r="AL9" i="8"/>
  <c r="AK9" i="8"/>
  <c r="AL8" i="8"/>
  <c r="AK8" i="8"/>
  <c r="AL7" i="8"/>
  <c r="AK7" i="8"/>
  <c r="Y41" i="8"/>
  <c r="X41" i="8"/>
  <c r="X43" i="8"/>
  <c r="Y49" i="8"/>
  <c r="Z49" i="8" s="1"/>
  <c r="AA49" i="8" s="1"/>
  <c r="Y48" i="8"/>
  <c r="Y45" i="8"/>
  <c r="Y43" i="8"/>
  <c r="Y42" i="8"/>
  <c r="Y35" i="8"/>
  <c r="Y24" i="8"/>
  <c r="Y23" i="8"/>
  <c r="Y18" i="8"/>
  <c r="Y17" i="8"/>
  <c r="Y16" i="8"/>
  <c r="Z16" i="8" s="1"/>
  <c r="AA16" i="8" s="1"/>
  <c r="Y15" i="8"/>
  <c r="Y14" i="8"/>
  <c r="Z14" i="8" s="1"/>
  <c r="Y13" i="8"/>
  <c r="Y12" i="8"/>
  <c r="Y11" i="8"/>
  <c r="Y10" i="8"/>
  <c r="Y9" i="8"/>
  <c r="Y8" i="8"/>
  <c r="Z8" i="8" s="1"/>
  <c r="AA8" i="8" s="1"/>
  <c r="Y7" i="8"/>
  <c r="X49" i="8"/>
  <c r="X48" i="8"/>
  <c r="X45" i="8"/>
  <c r="X42" i="8"/>
  <c r="X35" i="8"/>
  <c r="X24" i="8"/>
  <c r="X23" i="8"/>
  <c r="X18" i="8"/>
  <c r="Z18" i="8" s="1"/>
  <c r="AA18" i="8" s="1"/>
  <c r="X17" i="8"/>
  <c r="X16" i="8"/>
  <c r="X15" i="8"/>
  <c r="X14" i="8"/>
  <c r="X13" i="8"/>
  <c r="X12" i="8"/>
  <c r="X11" i="8"/>
  <c r="X10" i="8"/>
  <c r="X9" i="8"/>
  <c r="X8" i="8"/>
  <c r="X7" i="8"/>
  <c r="K48" i="8"/>
  <c r="L48" i="8"/>
  <c r="K49" i="8"/>
  <c r="L49" i="8"/>
  <c r="L45" i="8"/>
  <c r="K45" i="8"/>
  <c r="L43" i="8"/>
  <c r="L42" i="8"/>
  <c r="K42" i="8"/>
  <c r="L35" i="8"/>
  <c r="L24" i="8"/>
  <c r="K24" i="8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L7" i="8"/>
  <c r="K7" i="8"/>
  <c r="C11" i="40"/>
  <c r="C11" i="39"/>
  <c r="C11" i="20"/>
  <c r="C11" i="38"/>
  <c r="K41" i="8"/>
  <c r="L41" i="8"/>
  <c r="K43" i="8"/>
  <c r="K23" i="8"/>
  <c r="L23" i="8"/>
  <c r="C12" i="38"/>
  <c r="C12" i="14"/>
  <c r="Z48" i="8" l="1"/>
  <c r="AA48" i="8" s="1"/>
  <c r="AM12" i="8"/>
  <c r="AN12" i="8" s="1"/>
  <c r="Z13" i="8"/>
  <c r="M8" i="8"/>
  <c r="N8" i="8" s="1"/>
  <c r="AM17" i="8"/>
  <c r="AN17" i="8" s="1"/>
  <c r="AM35" i="8"/>
  <c r="AN35" i="8" s="1"/>
  <c r="Z24" i="8"/>
  <c r="AM11" i="8"/>
  <c r="AN11" i="8" s="1"/>
  <c r="AM49" i="8"/>
  <c r="AN49" i="8" s="1"/>
  <c r="AM48" i="8"/>
  <c r="AN48" i="8" s="1"/>
  <c r="AM45" i="8"/>
  <c r="AN45" i="8" s="1"/>
  <c r="AM43" i="8"/>
  <c r="AN43" i="8" s="1"/>
  <c r="AM24" i="8"/>
  <c r="AM16" i="8"/>
  <c r="AN16" i="8" s="1"/>
  <c r="AM15" i="8"/>
  <c r="AN15" i="8" s="1"/>
  <c r="AM13" i="8"/>
  <c r="AM9" i="8"/>
  <c r="AN9" i="8" s="1"/>
  <c r="AM8" i="8"/>
  <c r="AN8" i="8" s="1"/>
  <c r="AM7" i="8"/>
  <c r="AN7" i="8" s="1"/>
  <c r="Z17" i="8"/>
  <c r="AA17" i="8" s="1"/>
  <c r="Z15" i="8"/>
  <c r="AA15" i="8" s="1"/>
  <c r="Z11" i="8"/>
  <c r="AA11" i="8" s="1"/>
  <c r="Z9" i="8"/>
  <c r="AA9" i="8" s="1"/>
  <c r="Z7" i="8"/>
  <c r="AA7" i="8" s="1"/>
  <c r="Z45" i="8"/>
  <c r="AA45" i="8" s="1"/>
  <c r="Z43" i="8"/>
  <c r="AA43" i="8" s="1"/>
  <c r="Z35" i="8"/>
  <c r="AA35" i="8" s="1"/>
  <c r="Z12" i="8"/>
  <c r="AA12" i="8" s="1"/>
  <c r="Z10" i="8"/>
  <c r="AA10" i="8" s="1"/>
  <c r="M14" i="8"/>
  <c r="M13" i="8"/>
  <c r="M7" i="8"/>
  <c r="N7" i="8" s="1"/>
  <c r="M11" i="8"/>
  <c r="N11" i="8" s="1"/>
  <c r="M10" i="8"/>
  <c r="N10" i="8" s="1"/>
  <c r="M16" i="8"/>
  <c r="N16" i="8" s="1"/>
  <c r="M15" i="8"/>
  <c r="N15" i="8" s="1"/>
  <c r="M9" i="8"/>
  <c r="N9" i="8" s="1"/>
  <c r="M43" i="8"/>
  <c r="N43" i="8" s="1"/>
  <c r="M24" i="8"/>
  <c r="C12" i="40" l="1"/>
  <c r="C12" i="39"/>
  <c r="C12" i="22"/>
  <c r="O52" i="24" l="1"/>
  <c r="C9" i="13"/>
  <c r="C9" i="40" l="1"/>
  <c r="C9" i="34"/>
  <c r="C9" i="39"/>
  <c r="C9" i="32"/>
  <c r="C9" i="38"/>
  <c r="C9" i="30"/>
  <c r="C13" i="34"/>
  <c r="N9" i="27" l="1"/>
  <c r="M9" i="27"/>
  <c r="N7" i="27"/>
  <c r="N5" i="27"/>
  <c r="M7" i="27"/>
  <c r="M5" i="27"/>
  <c r="M57" i="40"/>
  <c r="L57" i="40"/>
  <c r="S52" i="40"/>
  <c r="N52" i="40"/>
  <c r="K51" i="40"/>
  <c r="B50" i="40"/>
  <c r="D63" i="40" s="1"/>
  <c r="E34" i="40"/>
  <c r="E30" i="40"/>
  <c r="B29" i="40"/>
  <c r="C28" i="40"/>
  <c r="B28" i="40" s="1"/>
  <c r="C19" i="40"/>
  <c r="B19" i="40" s="1"/>
  <c r="B18" i="40"/>
  <c r="C17" i="40"/>
  <c r="B17" i="40" s="1"/>
  <c r="B16" i="40"/>
  <c r="C15" i="40"/>
  <c r="B15" i="40"/>
  <c r="C13" i="40"/>
  <c r="B13" i="40"/>
  <c r="B11" i="40"/>
  <c r="C10" i="40"/>
  <c r="B9" i="40"/>
  <c r="M57" i="39"/>
  <c r="L57" i="39"/>
  <c r="L52" i="39"/>
  <c r="B50" i="39"/>
  <c r="E17" i="39" s="1"/>
  <c r="E34" i="39"/>
  <c r="E30" i="39"/>
  <c r="B29" i="39"/>
  <c r="C28" i="39"/>
  <c r="C19" i="39"/>
  <c r="B18" i="39"/>
  <c r="C17" i="39"/>
  <c r="B17" i="39"/>
  <c r="B16" i="39"/>
  <c r="C15" i="39"/>
  <c r="B15" i="39"/>
  <c r="B12" i="39"/>
  <c r="B11" i="39"/>
  <c r="C10" i="39"/>
  <c r="M57" i="38"/>
  <c r="L57" i="38"/>
  <c r="Q52" i="38"/>
  <c r="L52" i="38"/>
  <c r="B50" i="38"/>
  <c r="E34" i="38"/>
  <c r="E30" i="38"/>
  <c r="B29" i="38"/>
  <c r="C28" i="38"/>
  <c r="C19" i="38"/>
  <c r="B18" i="38"/>
  <c r="C17" i="38"/>
  <c r="B17" i="38" s="1"/>
  <c r="B16" i="38"/>
  <c r="C15" i="38"/>
  <c r="B15" i="38"/>
  <c r="B12" i="38"/>
  <c r="B11" i="38"/>
  <c r="C10" i="38"/>
  <c r="C13" i="38" s="1"/>
  <c r="C14" i="38"/>
  <c r="M12" i="8" s="1"/>
  <c r="N12" i="8" s="1"/>
  <c r="C9" i="15"/>
  <c r="D63" i="38" l="1"/>
  <c r="M45" i="8"/>
  <c r="N45" i="8" s="1"/>
  <c r="B19" i="38"/>
  <c r="M17" i="8"/>
  <c r="N17" i="8" s="1"/>
  <c r="E11" i="38"/>
  <c r="E13" i="40"/>
  <c r="O9" i="27"/>
  <c r="P9" i="27" s="1"/>
  <c r="I7" i="40"/>
  <c r="E17" i="40"/>
  <c r="Q52" i="40"/>
  <c r="E9" i="40"/>
  <c r="E10" i="40"/>
  <c r="E18" i="40"/>
  <c r="E11" i="40"/>
  <c r="E18" i="39"/>
  <c r="I7" i="39"/>
  <c r="E19" i="39"/>
  <c r="E10" i="39"/>
  <c r="E11" i="39"/>
  <c r="O7" i="27"/>
  <c r="P7" i="27" s="1"/>
  <c r="E16" i="39"/>
  <c r="B53" i="39"/>
  <c r="E15" i="39"/>
  <c r="E19" i="38"/>
  <c r="O5" i="27"/>
  <c r="P5" i="27" s="1"/>
  <c r="E9" i="38"/>
  <c r="E18" i="38"/>
  <c r="E12" i="38"/>
  <c r="I7" i="38"/>
  <c r="E16" i="38"/>
  <c r="O52" i="38"/>
  <c r="B10" i="40"/>
  <c r="E12" i="40"/>
  <c r="E15" i="40"/>
  <c r="E19" i="40"/>
  <c r="E16" i="40"/>
  <c r="C14" i="40"/>
  <c r="B54" i="40"/>
  <c r="B53" i="40"/>
  <c r="B12" i="40"/>
  <c r="B14" i="40" s="1"/>
  <c r="B20" i="40" s="1"/>
  <c r="B28" i="39"/>
  <c r="B10" i="39"/>
  <c r="E12" i="39"/>
  <c r="C13" i="39"/>
  <c r="B19" i="39"/>
  <c r="O52" i="39"/>
  <c r="E9" i="39"/>
  <c r="B54" i="39"/>
  <c r="B9" i="39"/>
  <c r="D63" i="39"/>
  <c r="B13" i="38"/>
  <c r="E13" i="38"/>
  <c r="C20" i="38"/>
  <c r="E14" i="38"/>
  <c r="E17" i="38"/>
  <c r="B28" i="38"/>
  <c r="B10" i="38"/>
  <c r="B53" i="38"/>
  <c r="M48" i="8" s="1"/>
  <c r="N48" i="8" s="1"/>
  <c r="E10" i="38"/>
  <c r="E15" i="38"/>
  <c r="B9" i="38"/>
  <c r="B54" i="38"/>
  <c r="M49" i="8" s="1"/>
  <c r="N49" i="8" s="1"/>
  <c r="D19" i="38" l="1"/>
  <c r="M18" i="8"/>
  <c r="N18" i="8" s="1"/>
  <c r="D11" i="38"/>
  <c r="D12" i="38"/>
  <c r="D17" i="38"/>
  <c r="D15" i="38"/>
  <c r="D14" i="38"/>
  <c r="D10" i="38"/>
  <c r="D13" i="38"/>
  <c r="I14" i="40"/>
  <c r="C20" i="40"/>
  <c r="E14" i="40"/>
  <c r="E20" i="40" s="1"/>
  <c r="E13" i="39"/>
  <c r="B13" i="39"/>
  <c r="B14" i="39" s="1"/>
  <c r="B20" i="39" s="1"/>
  <c r="I14" i="39"/>
  <c r="C14" i="39"/>
  <c r="B14" i="38"/>
  <c r="B20" i="38" s="1"/>
  <c r="I14" i="38"/>
  <c r="E20" i="38"/>
  <c r="D18" i="38"/>
  <c r="D20" i="38"/>
  <c r="D16" i="38"/>
  <c r="C40" i="38"/>
  <c r="K35" i="8" s="1"/>
  <c r="M35" i="8" s="1"/>
  <c r="N35" i="8" s="1"/>
  <c r="D68" i="38"/>
  <c r="D9" i="38"/>
  <c r="D20" i="40" l="1"/>
  <c r="D16" i="40"/>
  <c r="C40" i="40"/>
  <c r="D18" i="40"/>
  <c r="D68" i="40"/>
  <c r="D17" i="40"/>
  <c r="D15" i="40"/>
  <c r="D12" i="40"/>
  <c r="D11" i="40"/>
  <c r="D10" i="40"/>
  <c r="D13" i="40"/>
  <c r="D19" i="40"/>
  <c r="D9" i="40"/>
  <c r="D14" i="40"/>
  <c r="E14" i="39"/>
  <c r="E20" i="39" s="1"/>
  <c r="C20" i="39"/>
  <c r="D14" i="39" s="1"/>
  <c r="D18" i="39" l="1"/>
  <c r="D68" i="39"/>
  <c r="D20" i="39"/>
  <c r="D16" i="39"/>
  <c r="C40" i="39"/>
  <c r="D15" i="39"/>
  <c r="D17" i="39"/>
  <c r="D9" i="39"/>
  <c r="D10" i="39"/>
  <c r="D19" i="39"/>
  <c r="D11" i="39"/>
  <c r="D12" i="39"/>
  <c r="D13" i="39"/>
  <c r="N10" i="25" l="1"/>
  <c r="N10" i="22"/>
  <c r="S52" i="34" l="1"/>
  <c r="M57" i="34"/>
  <c r="L57" i="26"/>
  <c r="M57" i="26"/>
  <c r="Q52" i="26"/>
  <c r="L52" i="26"/>
  <c r="M58" i="25"/>
  <c r="Q52" i="25"/>
  <c r="Q52" i="32"/>
  <c r="M57" i="32"/>
  <c r="M57" i="24"/>
  <c r="L57" i="24"/>
  <c r="Q52" i="24"/>
  <c r="L52" i="24"/>
  <c r="Q52" i="22"/>
  <c r="M58" i="22"/>
  <c r="M57" i="30"/>
  <c r="Q52" i="30"/>
  <c r="L57" i="13"/>
  <c r="M57" i="13"/>
  <c r="Q52" i="13"/>
  <c r="L52" i="13"/>
  <c r="M58" i="12"/>
  <c r="Q52" i="12"/>
  <c r="E34" i="26"/>
  <c r="E34" i="25"/>
  <c r="E34" i="24"/>
  <c r="E34" i="22"/>
  <c r="E34" i="13"/>
  <c r="E34" i="12"/>
  <c r="E30" i="26"/>
  <c r="E30" i="25"/>
  <c r="E30" i="24"/>
  <c r="E30" i="22"/>
  <c r="E30" i="13"/>
  <c r="E30" i="12"/>
  <c r="D11" i="37"/>
  <c r="D8" i="37"/>
  <c r="D7" i="37"/>
  <c r="D5" i="37"/>
  <c r="C12" i="32"/>
  <c r="K51" i="34"/>
  <c r="B50" i="34"/>
  <c r="E34" i="34"/>
  <c r="E30" i="34"/>
  <c r="B29" i="34"/>
  <c r="C28" i="34"/>
  <c r="B28" i="34" s="1"/>
  <c r="C19" i="34"/>
  <c r="B18" i="34"/>
  <c r="C17" i="34"/>
  <c r="B17" i="34" s="1"/>
  <c r="B16" i="34"/>
  <c r="C15" i="34"/>
  <c r="B15" i="34" s="1"/>
  <c r="C12" i="34"/>
  <c r="C11" i="34"/>
  <c r="C10" i="34"/>
  <c r="B10" i="34" s="1"/>
  <c r="N9" i="26"/>
  <c r="C12" i="26"/>
  <c r="C11" i="26"/>
  <c r="C10" i="26"/>
  <c r="C9" i="26"/>
  <c r="N9" i="25"/>
  <c r="N12" i="25"/>
  <c r="C12" i="25"/>
  <c r="C11" i="25"/>
  <c r="C10" i="25"/>
  <c r="C9" i="25"/>
  <c r="B50" i="32"/>
  <c r="E34" i="32"/>
  <c r="E30" i="32"/>
  <c r="B29" i="32"/>
  <c r="C28" i="32"/>
  <c r="B28" i="32" s="1"/>
  <c r="C19" i="32"/>
  <c r="B19" i="32" s="1"/>
  <c r="B18" i="32"/>
  <c r="C17" i="32"/>
  <c r="B17" i="32" s="1"/>
  <c r="B16" i="32"/>
  <c r="C15" i="32"/>
  <c r="B15" i="32" s="1"/>
  <c r="C13" i="32"/>
  <c r="C11" i="32"/>
  <c r="C10" i="32"/>
  <c r="B10" i="32" s="1"/>
  <c r="B9" i="32"/>
  <c r="M10" i="24"/>
  <c r="C13" i="24"/>
  <c r="C12" i="24"/>
  <c r="C11" i="24"/>
  <c r="C10" i="24"/>
  <c r="C9" i="24"/>
  <c r="N9" i="22"/>
  <c r="C13" i="22"/>
  <c r="C11" i="22"/>
  <c r="C10" i="22"/>
  <c r="C9" i="22"/>
  <c r="B50" i="30"/>
  <c r="E30" i="30"/>
  <c r="B29" i="30"/>
  <c r="C28" i="30"/>
  <c r="B28" i="30" s="1"/>
  <c r="C19" i="30"/>
  <c r="B18" i="30"/>
  <c r="C17" i="30"/>
  <c r="B17" i="30"/>
  <c r="B16" i="30"/>
  <c r="C15" i="30"/>
  <c r="B15" i="30"/>
  <c r="C13" i="30"/>
  <c r="B13" i="30"/>
  <c r="C12" i="30"/>
  <c r="B12" i="30"/>
  <c r="C11" i="30"/>
  <c r="B11" i="30" s="1"/>
  <c r="C10" i="30"/>
  <c r="B10" i="30" s="1"/>
  <c r="B9" i="30"/>
  <c r="B14" i="30" s="1"/>
  <c r="M9" i="13"/>
  <c r="C13" i="13"/>
  <c r="C12" i="13"/>
  <c r="C11" i="13"/>
  <c r="C10" i="13"/>
  <c r="N12" i="12"/>
  <c r="C13" i="12"/>
  <c r="C13" i="25" s="1"/>
  <c r="C12" i="12"/>
  <c r="C11" i="12"/>
  <c r="C10" i="12"/>
  <c r="C9" i="12"/>
  <c r="M57" i="21"/>
  <c r="L57" i="21"/>
  <c r="Q52" i="21"/>
  <c r="L52" i="21"/>
  <c r="J51" i="21"/>
  <c r="B50" i="21"/>
  <c r="O52" i="21" s="1"/>
  <c r="E34" i="21"/>
  <c r="E30" i="21"/>
  <c r="B29" i="21"/>
  <c r="H28" i="21"/>
  <c r="C19" i="21"/>
  <c r="B18" i="21"/>
  <c r="C17" i="21"/>
  <c r="B16" i="21"/>
  <c r="C12" i="21"/>
  <c r="B12" i="21"/>
  <c r="C11" i="21"/>
  <c r="B11" i="21"/>
  <c r="C10" i="21"/>
  <c r="N9" i="21"/>
  <c r="C9" i="21"/>
  <c r="B9" i="21" s="1"/>
  <c r="P8" i="21"/>
  <c r="N8" i="21"/>
  <c r="N11" i="21" s="1"/>
  <c r="C15" i="21" s="1"/>
  <c r="M58" i="20"/>
  <c r="Q52" i="20"/>
  <c r="J51" i="20"/>
  <c r="C51" i="20"/>
  <c r="B50" i="20"/>
  <c r="B54" i="20" s="1"/>
  <c r="C48" i="20"/>
  <c r="C50" i="20" s="1"/>
  <c r="D47" i="20"/>
  <c r="E34" i="20"/>
  <c r="E30" i="20"/>
  <c r="B29" i="20"/>
  <c r="C19" i="20"/>
  <c r="B19" i="20" s="1"/>
  <c r="B18" i="20"/>
  <c r="C17" i="20"/>
  <c r="B17" i="20"/>
  <c r="B16" i="20"/>
  <c r="N12" i="20"/>
  <c r="C12" i="20"/>
  <c r="B12" i="20"/>
  <c r="F11" i="20"/>
  <c r="N10" i="20"/>
  <c r="C10" i="20"/>
  <c r="B10" i="20" s="1"/>
  <c r="N9" i="20"/>
  <c r="C9" i="20"/>
  <c r="N8" i="20"/>
  <c r="M57" i="19"/>
  <c r="L57" i="19"/>
  <c r="Q52" i="19"/>
  <c r="L52" i="19"/>
  <c r="B50" i="19"/>
  <c r="O52" i="19" s="1"/>
  <c r="E34" i="19"/>
  <c r="E30" i="19"/>
  <c r="B29" i="19"/>
  <c r="H28" i="19"/>
  <c r="C19" i="19"/>
  <c r="B18" i="19"/>
  <c r="C17" i="19"/>
  <c r="B17" i="19"/>
  <c r="B16" i="19"/>
  <c r="C12" i="19"/>
  <c r="B12" i="19"/>
  <c r="M11" i="19"/>
  <c r="C15" i="19" s="1"/>
  <c r="C11" i="19"/>
  <c r="B11" i="19"/>
  <c r="M10" i="19"/>
  <c r="C10" i="19"/>
  <c r="B10" i="19"/>
  <c r="O9" i="19"/>
  <c r="M9" i="19"/>
  <c r="C9" i="19"/>
  <c r="M58" i="18"/>
  <c r="B53" i="18"/>
  <c r="Q52" i="18"/>
  <c r="B50" i="18"/>
  <c r="B54" i="18" s="1"/>
  <c r="C48" i="18"/>
  <c r="C50" i="18" s="1"/>
  <c r="D47" i="18"/>
  <c r="E34" i="18"/>
  <c r="E30" i="18"/>
  <c r="B29" i="18"/>
  <c r="C19" i="18"/>
  <c r="B19" i="18"/>
  <c r="F19" i="18" s="1"/>
  <c r="B18" i="18"/>
  <c r="C17" i="18"/>
  <c r="B17" i="18"/>
  <c r="B16" i="18"/>
  <c r="N12" i="18"/>
  <c r="C12" i="18"/>
  <c r="B12" i="18" s="1"/>
  <c r="C11" i="18"/>
  <c r="N10" i="18"/>
  <c r="C10" i="18"/>
  <c r="B10" i="18" s="1"/>
  <c r="N9" i="18"/>
  <c r="C9" i="18"/>
  <c r="N8" i="18"/>
  <c r="N11" i="18" s="1"/>
  <c r="C15" i="18" s="1"/>
  <c r="D63" i="15"/>
  <c r="M57" i="15"/>
  <c r="L57" i="15"/>
  <c r="Q52" i="15"/>
  <c r="L52" i="15"/>
  <c r="B50" i="15"/>
  <c r="O52" i="15" s="1"/>
  <c r="E34" i="15"/>
  <c r="E30" i="15"/>
  <c r="B29" i="15"/>
  <c r="H28" i="15"/>
  <c r="C19" i="15"/>
  <c r="E19" i="15" s="1"/>
  <c r="E18" i="15"/>
  <c r="B18" i="15"/>
  <c r="C17" i="15"/>
  <c r="B17" i="15" s="1"/>
  <c r="B16" i="15"/>
  <c r="C12" i="15"/>
  <c r="E12" i="15" s="1"/>
  <c r="C11" i="15"/>
  <c r="E11" i="15" s="1"/>
  <c r="C10" i="15"/>
  <c r="M9" i="15"/>
  <c r="B9" i="15"/>
  <c r="O8" i="15"/>
  <c r="M8" i="15"/>
  <c r="M11" i="15" s="1"/>
  <c r="C15" i="15" s="1"/>
  <c r="I7" i="15"/>
  <c r="M58" i="14"/>
  <c r="Q52" i="14"/>
  <c r="B50" i="14"/>
  <c r="B54" i="14" s="1"/>
  <c r="C48" i="14"/>
  <c r="C50" i="14" s="1"/>
  <c r="D47" i="14"/>
  <c r="E34" i="14"/>
  <c r="E30" i="14"/>
  <c r="B29" i="14"/>
  <c r="H28" i="14"/>
  <c r="C19" i="14"/>
  <c r="B18" i="14"/>
  <c r="C17" i="14"/>
  <c r="B16" i="14"/>
  <c r="N12" i="14"/>
  <c r="B12" i="14"/>
  <c r="C11" i="14"/>
  <c r="B11" i="14"/>
  <c r="P10" i="14"/>
  <c r="N10" i="14"/>
  <c r="C10" i="14"/>
  <c r="B10" i="14" s="1"/>
  <c r="P9" i="14"/>
  <c r="N9" i="14"/>
  <c r="C9" i="14"/>
  <c r="B9" i="14"/>
  <c r="P8" i="14"/>
  <c r="N8" i="14"/>
  <c r="N11" i="14" s="1"/>
  <c r="C15" i="14" s="1"/>
  <c r="I7" i="21" l="1"/>
  <c r="E12" i="19"/>
  <c r="I7" i="19"/>
  <c r="B12" i="15"/>
  <c r="E11" i="19"/>
  <c r="E11" i="21"/>
  <c r="D63" i="34"/>
  <c r="B53" i="34"/>
  <c r="E17" i="32"/>
  <c r="B53" i="32"/>
  <c r="D63" i="30"/>
  <c r="B53" i="30"/>
  <c r="E15" i="34"/>
  <c r="I7" i="34"/>
  <c r="E10" i="34"/>
  <c r="E16" i="34"/>
  <c r="Q52" i="34"/>
  <c r="E17" i="34"/>
  <c r="E19" i="34"/>
  <c r="E12" i="34"/>
  <c r="E9" i="34"/>
  <c r="E18" i="34"/>
  <c r="E13" i="34"/>
  <c r="E11" i="34"/>
  <c r="E12" i="32"/>
  <c r="E13" i="32"/>
  <c r="B13" i="34"/>
  <c r="C14" i="34"/>
  <c r="E14" i="34" s="1"/>
  <c r="B19" i="34"/>
  <c r="B11" i="34"/>
  <c r="B9" i="34"/>
  <c r="B54" i="34"/>
  <c r="B12" i="34"/>
  <c r="B13" i="32"/>
  <c r="E18" i="32"/>
  <c r="O52" i="32"/>
  <c r="E9" i="32"/>
  <c r="E10" i="32"/>
  <c r="E15" i="32"/>
  <c r="B11" i="32"/>
  <c r="I7" i="32"/>
  <c r="E11" i="32"/>
  <c r="E19" i="32"/>
  <c r="B54" i="32"/>
  <c r="D63" i="32"/>
  <c r="C14" i="32"/>
  <c r="B12" i="32"/>
  <c r="E16" i="32"/>
  <c r="E19" i="30"/>
  <c r="E13" i="30"/>
  <c r="E17" i="30"/>
  <c r="I7" i="30"/>
  <c r="E15" i="30"/>
  <c r="E16" i="30"/>
  <c r="E11" i="30"/>
  <c r="E18" i="30"/>
  <c r="O52" i="30"/>
  <c r="E9" i="30"/>
  <c r="E10" i="30"/>
  <c r="E12" i="30"/>
  <c r="B19" i="30"/>
  <c r="B20" i="30" s="1"/>
  <c r="B54" i="30"/>
  <c r="C14" i="30"/>
  <c r="E16" i="19"/>
  <c r="E10" i="21"/>
  <c r="P11" i="14"/>
  <c r="N11" i="20"/>
  <c r="C15" i="20" s="1"/>
  <c r="B53" i="15"/>
  <c r="E19" i="19"/>
  <c r="B53" i="21"/>
  <c r="B53" i="19"/>
  <c r="I14" i="19" s="1"/>
  <c r="E18" i="21"/>
  <c r="E19" i="21"/>
  <c r="E18" i="19"/>
  <c r="E9" i="15"/>
  <c r="B54" i="15"/>
  <c r="B53" i="20"/>
  <c r="B53" i="14"/>
  <c r="E10" i="19"/>
  <c r="E16" i="15"/>
  <c r="E12" i="21"/>
  <c r="E15" i="21"/>
  <c r="B15" i="21"/>
  <c r="B10" i="21"/>
  <c r="E16" i="21"/>
  <c r="B19" i="21"/>
  <c r="B17" i="21"/>
  <c r="D63" i="21"/>
  <c r="B54" i="21"/>
  <c r="E17" i="21"/>
  <c r="E9" i="21"/>
  <c r="C53" i="20"/>
  <c r="C52" i="20"/>
  <c r="C54" i="20"/>
  <c r="B15" i="20"/>
  <c r="B9" i="20"/>
  <c r="D50" i="20"/>
  <c r="E17" i="20" s="1"/>
  <c r="B11" i="20"/>
  <c r="B15" i="19"/>
  <c r="E15" i="19"/>
  <c r="B9" i="19"/>
  <c r="C13" i="19"/>
  <c r="B19" i="19"/>
  <c r="D63" i="19"/>
  <c r="B54" i="19"/>
  <c r="E9" i="19"/>
  <c r="E17" i="19"/>
  <c r="B15" i="18"/>
  <c r="C53" i="18"/>
  <c r="I14" i="18" s="1"/>
  <c r="C52" i="18"/>
  <c r="C54" i="18"/>
  <c r="D54" i="18"/>
  <c r="B9" i="18"/>
  <c r="C13" i="18"/>
  <c r="C14" i="18" s="1"/>
  <c r="B11" i="18"/>
  <c r="G11" i="18" s="1"/>
  <c r="D50" i="18"/>
  <c r="E11" i="18" s="1"/>
  <c r="E15" i="15"/>
  <c r="B15" i="15"/>
  <c r="C13" i="15"/>
  <c r="B19" i="15"/>
  <c r="B10" i="15"/>
  <c r="E10" i="15"/>
  <c r="B11" i="15"/>
  <c r="E17" i="15"/>
  <c r="C54" i="14"/>
  <c r="D54" i="14" s="1"/>
  <c r="C53" i="14"/>
  <c r="I14" i="14" s="1"/>
  <c r="C52" i="14"/>
  <c r="B15" i="14"/>
  <c r="C13" i="14"/>
  <c r="B19" i="14"/>
  <c r="B17" i="14"/>
  <c r="D50" i="14"/>
  <c r="E19" i="14" s="1"/>
  <c r="C14" i="15" l="1"/>
  <c r="C20" i="15" s="1"/>
  <c r="D13" i="15" s="1"/>
  <c r="C13" i="21"/>
  <c r="B14" i="32"/>
  <c r="B20" i="32" s="1"/>
  <c r="C14" i="14"/>
  <c r="E14" i="14" s="1"/>
  <c r="C13" i="20"/>
  <c r="D53" i="18"/>
  <c r="I14" i="21"/>
  <c r="D53" i="14"/>
  <c r="E9" i="20"/>
  <c r="C20" i="34"/>
  <c r="D13" i="34" s="1"/>
  <c r="E20" i="34"/>
  <c r="B14" i="34"/>
  <c r="B20" i="34" s="1"/>
  <c r="I14" i="34"/>
  <c r="D53" i="20"/>
  <c r="I14" i="32"/>
  <c r="C20" i="32"/>
  <c r="E14" i="32"/>
  <c r="E20" i="32" s="1"/>
  <c r="C20" i="30"/>
  <c r="D14" i="30" s="1"/>
  <c r="E14" i="30"/>
  <c r="E20" i="30" s="1"/>
  <c r="I14" i="30"/>
  <c r="E9" i="18"/>
  <c r="E10" i="20"/>
  <c r="E12" i="14"/>
  <c r="E12" i="18"/>
  <c r="I14" i="15"/>
  <c r="E10" i="18"/>
  <c r="E15" i="20"/>
  <c r="E11" i="20"/>
  <c r="D54" i="20"/>
  <c r="O52" i="20"/>
  <c r="E19" i="20"/>
  <c r="I7" i="20"/>
  <c r="E16" i="20"/>
  <c r="D63" i="20"/>
  <c r="E18" i="20"/>
  <c r="G53" i="20"/>
  <c r="N58" i="20"/>
  <c r="H58" i="20" s="1"/>
  <c r="G58" i="20"/>
  <c r="E12" i="20"/>
  <c r="H53" i="20"/>
  <c r="I14" i="20"/>
  <c r="E13" i="19"/>
  <c r="B13" i="19"/>
  <c r="B14" i="19" s="1"/>
  <c r="B20" i="19" s="1"/>
  <c r="C14" i="19"/>
  <c r="E14" i="18"/>
  <c r="C20" i="18"/>
  <c r="D13" i="18" s="1"/>
  <c r="O52" i="18"/>
  <c r="I7" i="18"/>
  <c r="E16" i="18"/>
  <c r="D63" i="18"/>
  <c r="E18" i="18"/>
  <c r="E19" i="18"/>
  <c r="E13" i="18"/>
  <c r="B13" i="18"/>
  <c r="B14" i="18" s="1"/>
  <c r="B20" i="18" s="1"/>
  <c r="G20" i="18" s="1"/>
  <c r="E15" i="18"/>
  <c r="G58" i="18"/>
  <c r="N58" i="18"/>
  <c r="H58" i="18" s="1"/>
  <c r="G53" i="18"/>
  <c r="E17" i="18"/>
  <c r="H53" i="18"/>
  <c r="B13" i="15"/>
  <c r="B14" i="15" s="1"/>
  <c r="B20" i="15" s="1"/>
  <c r="E13" i="15"/>
  <c r="O52" i="14"/>
  <c r="I7" i="14"/>
  <c r="E18" i="14"/>
  <c r="E11" i="14"/>
  <c r="D63" i="14"/>
  <c r="E16" i="14"/>
  <c r="E13" i="14"/>
  <c r="B13" i="14"/>
  <c r="B14" i="14" s="1"/>
  <c r="B20" i="14" s="1"/>
  <c r="N58" i="14"/>
  <c r="G58" i="14"/>
  <c r="G53" i="14"/>
  <c r="E9" i="14"/>
  <c r="H53" i="14"/>
  <c r="H58" i="14"/>
  <c r="E10" i="14"/>
  <c r="E15" i="14"/>
  <c r="E17" i="14"/>
  <c r="C20" i="14" l="1"/>
  <c r="D17" i="14" s="1"/>
  <c r="D11" i="34"/>
  <c r="D12" i="34"/>
  <c r="D14" i="34"/>
  <c r="D19" i="34"/>
  <c r="D18" i="34"/>
  <c r="C40" i="34"/>
  <c r="C55" i="14"/>
  <c r="D9" i="34"/>
  <c r="D16" i="34"/>
  <c r="D10" i="34"/>
  <c r="D15" i="34"/>
  <c r="D20" i="34"/>
  <c r="D17" i="34"/>
  <c r="E14" i="15"/>
  <c r="E20" i="15" s="1"/>
  <c r="D68" i="34"/>
  <c r="D68" i="32"/>
  <c r="D20" i="32"/>
  <c r="D16" i="32"/>
  <c r="D18" i="32"/>
  <c r="C40" i="32"/>
  <c r="D19" i="32"/>
  <c r="D17" i="32"/>
  <c r="D9" i="32"/>
  <c r="D11" i="32"/>
  <c r="D13" i="32"/>
  <c r="D12" i="32"/>
  <c r="D10" i="32"/>
  <c r="D15" i="32"/>
  <c r="D14" i="32"/>
  <c r="D20" i="30"/>
  <c r="D16" i="30"/>
  <c r="D13" i="30"/>
  <c r="C40" i="30"/>
  <c r="D68" i="30"/>
  <c r="D18" i="30"/>
  <c r="D12" i="30"/>
  <c r="D9" i="30"/>
  <c r="D15" i="30"/>
  <c r="D10" i="30"/>
  <c r="D11" i="30"/>
  <c r="D17" i="30"/>
  <c r="D19" i="30"/>
  <c r="C55" i="20"/>
  <c r="C20" i="19"/>
  <c r="D14" i="19" s="1"/>
  <c r="E14" i="19"/>
  <c r="E20" i="19" s="1"/>
  <c r="C40" i="18"/>
  <c r="D68" i="18"/>
  <c r="D17" i="18"/>
  <c r="D12" i="18"/>
  <c r="D20" i="18"/>
  <c r="D16" i="18"/>
  <c r="D18" i="18"/>
  <c r="D15" i="18"/>
  <c r="D10" i="18"/>
  <c r="D9" i="18"/>
  <c r="D11" i="18"/>
  <c r="D19" i="18"/>
  <c r="C55" i="18"/>
  <c r="E20" i="18"/>
  <c r="D14" i="18"/>
  <c r="D20" i="15"/>
  <c r="D18" i="15"/>
  <c r="D68" i="15"/>
  <c r="C40" i="15"/>
  <c r="D16" i="15"/>
  <c r="D12" i="15"/>
  <c r="D19" i="15"/>
  <c r="D17" i="15"/>
  <c r="D9" i="15"/>
  <c r="D15" i="15"/>
  <c r="D10" i="15"/>
  <c r="D11" i="15"/>
  <c r="D14" i="15"/>
  <c r="E20" i="14"/>
  <c r="D13" i="14" l="1"/>
  <c r="D12" i="14"/>
  <c r="D9" i="14"/>
  <c r="D14" i="14"/>
  <c r="D16" i="14"/>
  <c r="D68" i="14"/>
  <c r="D19" i="14"/>
  <c r="D20" i="14"/>
  <c r="D15" i="14"/>
  <c r="D10" i="14"/>
  <c r="D11" i="14"/>
  <c r="D18" i="14"/>
  <c r="C40" i="14"/>
  <c r="D20" i="19"/>
  <c r="D18" i="19"/>
  <c r="D11" i="19"/>
  <c r="D68" i="19"/>
  <c r="C40" i="19"/>
  <c r="D12" i="19"/>
  <c r="D10" i="19"/>
  <c r="D16" i="19"/>
  <c r="D9" i="19"/>
  <c r="D15" i="19"/>
  <c r="D17" i="19"/>
  <c r="D19" i="19"/>
  <c r="D13" i="19"/>
  <c r="F11" i="25" l="1"/>
  <c r="I9" i="27" l="1"/>
  <c r="H9" i="27"/>
  <c r="I7" i="27"/>
  <c r="H7" i="27"/>
  <c r="I5" i="27"/>
  <c r="H5" i="27"/>
  <c r="C5" i="27"/>
  <c r="B5" i="27"/>
  <c r="G43" i="8"/>
  <c r="C43" i="8"/>
  <c r="B43" i="8"/>
  <c r="J7" i="27" l="1"/>
  <c r="K7" i="27" s="1"/>
  <c r="J9" i="27"/>
  <c r="K9" i="27" s="1"/>
  <c r="J5" i="27"/>
  <c r="K5" i="27" s="1"/>
  <c r="E5" i="27"/>
  <c r="F5" i="27" s="1"/>
  <c r="AH43" i="8"/>
  <c r="AG43" i="8"/>
  <c r="AH16" i="8"/>
  <c r="AH14" i="8"/>
  <c r="AH7" i="8"/>
  <c r="AD7" i="8"/>
  <c r="AG16" i="8"/>
  <c r="AG15" i="8"/>
  <c r="AG14" i="8"/>
  <c r="AG9" i="8"/>
  <c r="AD16" i="8"/>
  <c r="AD14" i="8"/>
  <c r="AD10" i="8"/>
  <c r="AC16" i="8"/>
  <c r="AC14" i="8"/>
  <c r="U43" i="8"/>
  <c r="T43" i="8"/>
  <c r="U16" i="8"/>
  <c r="U14" i="8"/>
  <c r="U8" i="8"/>
  <c r="U7" i="8"/>
  <c r="T17" i="8"/>
  <c r="T16" i="8"/>
  <c r="T15" i="8"/>
  <c r="T14" i="8"/>
  <c r="Q16" i="8"/>
  <c r="Q14" i="8"/>
  <c r="Q7" i="8"/>
  <c r="P16" i="8"/>
  <c r="P15" i="8"/>
  <c r="P14" i="8"/>
  <c r="J51" i="26"/>
  <c r="B50" i="26"/>
  <c r="B53" i="26" s="1"/>
  <c r="B29" i="26"/>
  <c r="H28" i="26"/>
  <c r="C19" i="26"/>
  <c r="AH17" i="8" s="1"/>
  <c r="B18" i="26"/>
  <c r="C17" i="26"/>
  <c r="B17" i="26" s="1"/>
  <c r="B16" i="26"/>
  <c r="AH10" i="8"/>
  <c r="B11" i="26"/>
  <c r="B10" i="26"/>
  <c r="B9" i="26"/>
  <c r="P8" i="26"/>
  <c r="N8" i="26"/>
  <c r="N11" i="26" s="1"/>
  <c r="C15" i="26" s="1"/>
  <c r="AH13" i="8" s="1"/>
  <c r="J51" i="25"/>
  <c r="C51" i="25" s="1"/>
  <c r="B50" i="25"/>
  <c r="C48" i="25"/>
  <c r="C9" i="27" s="1"/>
  <c r="D47" i="25"/>
  <c r="B29" i="25"/>
  <c r="C19" i="25"/>
  <c r="B19" i="25" s="1"/>
  <c r="B18" i="25"/>
  <c r="C17" i="25"/>
  <c r="AD15" i="8" s="1"/>
  <c r="B16" i="25"/>
  <c r="B12" i="25"/>
  <c r="AD9" i="8"/>
  <c r="AD8" i="8"/>
  <c r="B9" i="25"/>
  <c r="N8" i="25"/>
  <c r="B50" i="24"/>
  <c r="B53" i="24" s="1"/>
  <c r="B29" i="24"/>
  <c r="H28" i="24"/>
  <c r="C19" i="24"/>
  <c r="U17" i="8" s="1"/>
  <c r="B18" i="24"/>
  <c r="C17" i="24"/>
  <c r="U15" i="8" s="1"/>
  <c r="B16" i="24"/>
  <c r="B12" i="24"/>
  <c r="U9" i="8"/>
  <c r="B11" i="24"/>
  <c r="B13" i="24"/>
  <c r="O9" i="24"/>
  <c r="M9" i="24"/>
  <c r="B9" i="24"/>
  <c r="B50" i="22"/>
  <c r="C48" i="22"/>
  <c r="C7" i="27" s="1"/>
  <c r="D47" i="22"/>
  <c r="B29" i="22"/>
  <c r="C19" i="22"/>
  <c r="B19" i="22" s="1"/>
  <c r="F19" i="22" s="1"/>
  <c r="B18" i="22"/>
  <c r="C17" i="22"/>
  <c r="Q15" i="8" s="1"/>
  <c r="B16" i="22"/>
  <c r="N12" i="22"/>
  <c r="B12" i="22"/>
  <c r="B11" i="22"/>
  <c r="G11" i="22" s="1"/>
  <c r="Q8" i="8"/>
  <c r="B9" i="22"/>
  <c r="N8" i="22"/>
  <c r="AG17" i="8"/>
  <c r="AG10" i="8"/>
  <c r="AG13" i="8"/>
  <c r="AG8" i="8"/>
  <c r="AG7" i="8"/>
  <c r="B9" i="27"/>
  <c r="AC10" i="8"/>
  <c r="AC9" i="8"/>
  <c r="AC8" i="8"/>
  <c r="AC13" i="8"/>
  <c r="T48" i="8"/>
  <c r="T13" i="8"/>
  <c r="T8" i="8"/>
  <c r="T7" i="8"/>
  <c r="B7" i="27"/>
  <c r="P17" i="8"/>
  <c r="P10" i="8"/>
  <c r="P9" i="8"/>
  <c r="P8" i="8"/>
  <c r="P11" i="8"/>
  <c r="AH45" i="8" l="1"/>
  <c r="B54" i="26"/>
  <c r="AH49" i="8" s="1"/>
  <c r="O52" i="26"/>
  <c r="B54" i="25"/>
  <c r="B53" i="25"/>
  <c r="B54" i="24"/>
  <c r="U49" i="8" s="1"/>
  <c r="B54" i="22"/>
  <c r="B53" i="22"/>
  <c r="AH15" i="8"/>
  <c r="AI15" i="8" s="1"/>
  <c r="AJ15" i="8" s="1"/>
  <c r="B17" i="24"/>
  <c r="Q10" i="8"/>
  <c r="R10" i="8" s="1"/>
  <c r="S10" i="8" s="1"/>
  <c r="Q9" i="8"/>
  <c r="R9" i="8" s="1"/>
  <c r="S9" i="8" s="1"/>
  <c r="B10" i="24"/>
  <c r="V43" i="8"/>
  <c r="W43" i="8" s="1"/>
  <c r="R8" i="8"/>
  <c r="S8" i="8" s="1"/>
  <c r="AI10" i="8"/>
  <c r="AJ10" i="8" s="1"/>
  <c r="T9" i="8"/>
  <c r="V9" i="8" s="1"/>
  <c r="W9" i="8" s="1"/>
  <c r="AC15" i="8"/>
  <c r="AE15" i="8" s="1"/>
  <c r="AF15" i="8" s="1"/>
  <c r="T49" i="8"/>
  <c r="B12" i="26"/>
  <c r="T10" i="8"/>
  <c r="P12" i="8"/>
  <c r="AC17" i="8"/>
  <c r="AH8" i="8"/>
  <c r="AI8" i="8" s="1"/>
  <c r="AJ8" i="8" s="1"/>
  <c r="AG48" i="8"/>
  <c r="N11" i="25"/>
  <c r="C15" i="25" s="1"/>
  <c r="AD13" i="8" s="1"/>
  <c r="AE13" i="8" s="1"/>
  <c r="AF13" i="8" s="1"/>
  <c r="AH9" i="8"/>
  <c r="AI9" i="8" s="1"/>
  <c r="AJ9" i="8" s="1"/>
  <c r="T45" i="8"/>
  <c r="AC49" i="8"/>
  <c r="N11" i="22"/>
  <c r="C15" i="22" s="1"/>
  <c r="Q13" i="8" s="1"/>
  <c r="M11" i="24"/>
  <c r="C15" i="24" s="1"/>
  <c r="U13" i="8" s="1"/>
  <c r="V13" i="8" s="1"/>
  <c r="W13" i="8" s="1"/>
  <c r="E9" i="27"/>
  <c r="F9" i="27" s="1"/>
  <c r="P7" i="8"/>
  <c r="R7" i="8" s="1"/>
  <c r="S7" i="8" s="1"/>
  <c r="U10" i="8"/>
  <c r="P43" i="8"/>
  <c r="AC7" i="8"/>
  <c r="AE7" i="8" s="1"/>
  <c r="AF7" i="8" s="1"/>
  <c r="B10" i="22"/>
  <c r="E7" i="27"/>
  <c r="F7" i="27" s="1"/>
  <c r="AC43" i="8"/>
  <c r="C50" i="25"/>
  <c r="C53" i="25" s="1"/>
  <c r="AD17" i="8"/>
  <c r="AD43" i="8"/>
  <c r="C50" i="22"/>
  <c r="C53" i="22" s="1"/>
  <c r="Q17" i="8"/>
  <c r="R17" i="8" s="1"/>
  <c r="S17" i="8" s="1"/>
  <c r="Q43" i="8"/>
  <c r="B13" i="22"/>
  <c r="Q11" i="8"/>
  <c r="R11" i="8" s="1"/>
  <c r="S11" i="8" s="1"/>
  <c r="B19" i="26"/>
  <c r="D63" i="26"/>
  <c r="I7" i="26"/>
  <c r="E10" i="26"/>
  <c r="E19" i="26"/>
  <c r="E18" i="26"/>
  <c r="E16" i="26"/>
  <c r="E12" i="26"/>
  <c r="E11" i="26"/>
  <c r="E9" i="26"/>
  <c r="AG49" i="8"/>
  <c r="AG45" i="8"/>
  <c r="E9" i="24"/>
  <c r="E17" i="24"/>
  <c r="U48" i="8"/>
  <c r="V48" i="8" s="1"/>
  <c r="W48" i="8" s="1"/>
  <c r="E10" i="24"/>
  <c r="E16" i="24"/>
  <c r="U45" i="8"/>
  <c r="I7" i="24"/>
  <c r="D63" i="24"/>
  <c r="E11" i="24"/>
  <c r="E18" i="24"/>
  <c r="U11" i="8"/>
  <c r="B14" i="24"/>
  <c r="V14" i="8"/>
  <c r="AI43" i="8"/>
  <c r="AJ43" i="8" s="1"/>
  <c r="AE10" i="8"/>
  <c r="AF10" i="8" s="1"/>
  <c r="AE8" i="8"/>
  <c r="AF8" i="8" s="1"/>
  <c r="R14" i="8"/>
  <c r="V16" i="8"/>
  <c r="W16" i="8" s="1"/>
  <c r="V17" i="8"/>
  <c r="W17" i="8" s="1"/>
  <c r="AE9" i="8"/>
  <c r="AF9" i="8" s="1"/>
  <c r="AI14" i="8"/>
  <c r="AE16" i="8"/>
  <c r="AF16" i="8" s="1"/>
  <c r="V15" i="8"/>
  <c r="W15" i="8" s="1"/>
  <c r="AE14" i="8"/>
  <c r="R16" i="8"/>
  <c r="S16" i="8" s="1"/>
  <c r="AI7" i="8"/>
  <c r="AJ7" i="8" s="1"/>
  <c r="AI17" i="8"/>
  <c r="AJ17" i="8" s="1"/>
  <c r="AI16" i="8"/>
  <c r="AJ16" i="8" s="1"/>
  <c r="AI13" i="8"/>
  <c r="AJ13" i="8" s="1"/>
  <c r="V8" i="8"/>
  <c r="W8" i="8" s="1"/>
  <c r="V7" i="8"/>
  <c r="W7" i="8" s="1"/>
  <c r="R15" i="8"/>
  <c r="S15" i="8" s="1"/>
  <c r="B15" i="26"/>
  <c r="E15" i="26"/>
  <c r="E17" i="26"/>
  <c r="B10" i="25"/>
  <c r="B11" i="25"/>
  <c r="B17" i="25"/>
  <c r="C14" i="24"/>
  <c r="U12" i="8" s="1"/>
  <c r="E12" i="24"/>
  <c r="E13" i="24"/>
  <c r="E19" i="24"/>
  <c r="B19" i="24"/>
  <c r="C14" i="22"/>
  <c r="Q12" i="8" s="1"/>
  <c r="B17" i="22"/>
  <c r="AC45" i="8"/>
  <c r="T12" i="8"/>
  <c r="T11" i="8"/>
  <c r="P49" i="8"/>
  <c r="P48" i="8"/>
  <c r="P13" i="8"/>
  <c r="R12" i="8" l="1"/>
  <c r="S12" i="8" s="1"/>
  <c r="AE17" i="8"/>
  <c r="AF17" i="8" s="1"/>
  <c r="AI45" i="8"/>
  <c r="AJ45" i="8" s="1"/>
  <c r="C54" i="25"/>
  <c r="D54" i="25" s="1"/>
  <c r="AD49" i="8" s="1"/>
  <c r="AE49" i="8" s="1"/>
  <c r="AF49" i="8" s="1"/>
  <c r="C54" i="22"/>
  <c r="D54" i="22" s="1"/>
  <c r="Q49" i="8" s="1"/>
  <c r="R49" i="8" s="1"/>
  <c r="S49" i="8" s="1"/>
  <c r="B15" i="25"/>
  <c r="B15" i="24"/>
  <c r="B20" i="24" s="1"/>
  <c r="B14" i="22"/>
  <c r="E15" i="24"/>
  <c r="V10" i="8"/>
  <c r="W10" i="8" s="1"/>
  <c r="AI49" i="8"/>
  <c r="AJ49" i="8" s="1"/>
  <c r="AE43" i="8"/>
  <c r="AF43" i="8" s="1"/>
  <c r="V11" i="8"/>
  <c r="W11" i="8" s="1"/>
  <c r="R13" i="8"/>
  <c r="S13" i="8" s="1"/>
  <c r="B15" i="22"/>
  <c r="P45" i="8"/>
  <c r="V45" i="8"/>
  <c r="W45" i="8" s="1"/>
  <c r="V12" i="8"/>
  <c r="W12" i="8" s="1"/>
  <c r="V49" i="8"/>
  <c r="W49" i="8" s="1"/>
  <c r="R43" i="8"/>
  <c r="S43" i="8" s="1"/>
  <c r="D50" i="25"/>
  <c r="C52" i="25"/>
  <c r="G58" i="25" s="1"/>
  <c r="C52" i="22"/>
  <c r="G58" i="22" s="1"/>
  <c r="D50" i="22"/>
  <c r="O52" i="22" s="1"/>
  <c r="AH48" i="8"/>
  <c r="AI48" i="8" s="1"/>
  <c r="AJ48" i="8" s="1"/>
  <c r="I14" i="26"/>
  <c r="I14" i="24"/>
  <c r="C20" i="24"/>
  <c r="U18" i="8" s="1"/>
  <c r="E14" i="24"/>
  <c r="C20" i="22"/>
  <c r="Q18" i="8" s="1"/>
  <c r="AC48" i="8"/>
  <c r="T18" i="8"/>
  <c r="P35" i="8"/>
  <c r="H53" i="25" l="1"/>
  <c r="H53" i="22"/>
  <c r="AD45" i="8"/>
  <c r="AE45" i="8" s="1"/>
  <c r="AF45" i="8" s="1"/>
  <c r="O52" i="25"/>
  <c r="E20" i="24"/>
  <c r="B20" i="22"/>
  <c r="G20" i="22" s="1"/>
  <c r="V18" i="8"/>
  <c r="W18" i="8" s="1"/>
  <c r="P18" i="8"/>
  <c r="R18" i="8" s="1"/>
  <c r="S18" i="8" s="1"/>
  <c r="E15" i="25"/>
  <c r="D63" i="25"/>
  <c r="E10" i="25"/>
  <c r="I14" i="25"/>
  <c r="E11" i="25"/>
  <c r="E9" i="25"/>
  <c r="E17" i="25"/>
  <c r="I7" i="25"/>
  <c r="E12" i="25"/>
  <c r="D53" i="25"/>
  <c r="AD48" i="8" s="1"/>
  <c r="AE48" i="8" s="1"/>
  <c r="AF48" i="8" s="1"/>
  <c r="E16" i="25"/>
  <c r="E19" i="25"/>
  <c r="E18" i="25"/>
  <c r="D53" i="22"/>
  <c r="Q48" i="8" s="1"/>
  <c r="R48" i="8" s="1"/>
  <c r="S48" i="8" s="1"/>
  <c r="I14" i="22"/>
  <c r="N58" i="25"/>
  <c r="H58" i="25" s="1"/>
  <c r="G53" i="25"/>
  <c r="G53" i="22"/>
  <c r="N58" i="22"/>
  <c r="H58" i="22" s="1"/>
  <c r="E12" i="22"/>
  <c r="E16" i="22"/>
  <c r="E15" i="22"/>
  <c r="E9" i="22"/>
  <c r="E17" i="22"/>
  <c r="E13" i="22"/>
  <c r="E18" i="22"/>
  <c r="E19" i="22"/>
  <c r="E14" i="22"/>
  <c r="E11" i="22"/>
  <c r="I7" i="22"/>
  <c r="Q45" i="8"/>
  <c r="R45" i="8" s="1"/>
  <c r="S45" i="8" s="1"/>
  <c r="E10" i="22"/>
  <c r="D63" i="22"/>
  <c r="D14" i="24"/>
  <c r="D16" i="24"/>
  <c r="D10" i="24"/>
  <c r="C40" i="24"/>
  <c r="U35" i="8" s="1"/>
  <c r="D18" i="24"/>
  <c r="D68" i="24"/>
  <c r="D20" i="24"/>
  <c r="D11" i="24"/>
  <c r="D17" i="24"/>
  <c r="D12" i="24"/>
  <c r="D9" i="24"/>
  <c r="D13" i="24"/>
  <c r="D15" i="24"/>
  <c r="D19" i="24"/>
  <c r="D68" i="22"/>
  <c r="C40" i="22"/>
  <c r="Q35" i="8" s="1"/>
  <c r="R35" i="8" s="1"/>
  <c r="S35" i="8" s="1"/>
  <c r="D11" i="22"/>
  <c r="D10" i="22"/>
  <c r="D18" i="22"/>
  <c r="D20" i="22"/>
  <c r="D17" i="22"/>
  <c r="D16" i="22"/>
  <c r="D9" i="22"/>
  <c r="D19" i="22"/>
  <c r="D15" i="22"/>
  <c r="D12" i="22"/>
  <c r="D13" i="22"/>
  <c r="D14" i="22"/>
  <c r="T35" i="8"/>
  <c r="C55" i="25" l="1"/>
  <c r="C55" i="22"/>
  <c r="V35" i="8"/>
  <c r="W35" i="8" s="1"/>
  <c r="E20" i="22"/>
  <c r="H43" i="8"/>
  <c r="I43" i="8" s="1"/>
  <c r="J43" i="8" s="1"/>
  <c r="H16" i="8"/>
  <c r="H14" i="8"/>
  <c r="G16" i="8"/>
  <c r="G15" i="8"/>
  <c r="G14" i="8"/>
  <c r="C16" i="8"/>
  <c r="C14" i="8"/>
  <c r="B17" i="8"/>
  <c r="B16" i="8"/>
  <c r="B14" i="8"/>
  <c r="B7" i="8"/>
  <c r="G49" i="8"/>
  <c r="G8" i="8"/>
  <c r="B15" i="8"/>
  <c r="B9" i="8"/>
  <c r="B8" i="8"/>
  <c r="B13" i="8" l="1"/>
  <c r="G9" i="8"/>
  <c r="G13" i="8"/>
  <c r="E14" i="8"/>
  <c r="E43" i="8"/>
  <c r="F43" i="8" s="1"/>
  <c r="I16" i="8"/>
  <c r="J16" i="8" s="1"/>
  <c r="G10" i="8"/>
  <c r="E16" i="8"/>
  <c r="F16" i="8" s="1"/>
  <c r="G7" i="8"/>
  <c r="G17" i="8"/>
  <c r="G45" i="8"/>
  <c r="I14" i="8"/>
  <c r="B10" i="8"/>
  <c r="G11" i="8"/>
  <c r="G48" i="8"/>
  <c r="B49" i="8"/>
  <c r="B45" i="8"/>
  <c r="B11" i="8"/>
  <c r="B50" i="13"/>
  <c r="B53" i="13" s="1"/>
  <c r="B29" i="13"/>
  <c r="H28" i="13"/>
  <c r="C19" i="13"/>
  <c r="H17" i="8" s="1"/>
  <c r="B18" i="13"/>
  <c r="C17" i="13"/>
  <c r="H15" i="8" s="1"/>
  <c r="I15" i="8" s="1"/>
  <c r="J15" i="8" s="1"/>
  <c r="B16" i="13"/>
  <c r="H9" i="8"/>
  <c r="I9" i="8" s="1"/>
  <c r="J9" i="8" s="1"/>
  <c r="H8" i="8"/>
  <c r="I8" i="8" s="1"/>
  <c r="J8" i="8" s="1"/>
  <c r="O8" i="13"/>
  <c r="M8" i="13"/>
  <c r="B50" i="12"/>
  <c r="C48" i="12"/>
  <c r="C50" i="12" s="1"/>
  <c r="C53" i="12" s="1"/>
  <c r="D47" i="12"/>
  <c r="B29" i="12"/>
  <c r="H28" i="12"/>
  <c r="C19" i="12"/>
  <c r="C17" i="8" s="1"/>
  <c r="E17" i="8" s="1"/>
  <c r="F17" i="8" s="1"/>
  <c r="B18" i="12"/>
  <c r="C17" i="12"/>
  <c r="C15" i="8" s="1"/>
  <c r="E15" i="8" s="1"/>
  <c r="F15" i="8" s="1"/>
  <c r="B17" i="12"/>
  <c r="B16" i="12"/>
  <c r="C10" i="8"/>
  <c r="C9" i="8"/>
  <c r="E9" i="8" s="1"/>
  <c r="F9" i="8" s="1"/>
  <c r="P10" i="12"/>
  <c r="N10" i="12"/>
  <c r="C8" i="8"/>
  <c r="E8" i="8" s="1"/>
  <c r="F8" i="8" s="1"/>
  <c r="P9" i="12"/>
  <c r="N9" i="12"/>
  <c r="C7" i="8"/>
  <c r="E7" i="8" s="1"/>
  <c r="F7" i="8" s="1"/>
  <c r="P8" i="12"/>
  <c r="N8" i="12"/>
  <c r="B17" i="13" l="1"/>
  <c r="I7" i="13"/>
  <c r="O52" i="13"/>
  <c r="H48" i="8"/>
  <c r="I48" i="8" s="1"/>
  <c r="J48" i="8" s="1"/>
  <c r="B54" i="13"/>
  <c r="H49" i="8" s="1"/>
  <c r="I49" i="8" s="1"/>
  <c r="J49" i="8" s="1"/>
  <c r="C54" i="12"/>
  <c r="H53" i="12" s="1"/>
  <c r="B53" i="12"/>
  <c r="B54" i="12"/>
  <c r="B11" i="13"/>
  <c r="N11" i="12"/>
  <c r="C15" i="12" s="1"/>
  <c r="C13" i="8" s="1"/>
  <c r="E13" i="8" s="1"/>
  <c r="F13" i="8" s="1"/>
  <c r="M11" i="13"/>
  <c r="C15" i="13" s="1"/>
  <c r="H13" i="8" s="1"/>
  <c r="I13" i="8" s="1"/>
  <c r="J13" i="8" s="1"/>
  <c r="E11" i="13"/>
  <c r="E12" i="13"/>
  <c r="E10" i="8"/>
  <c r="F10" i="8" s="1"/>
  <c r="I17" i="8"/>
  <c r="J17" i="8" s="1"/>
  <c r="E19" i="13"/>
  <c r="B9" i="12"/>
  <c r="B12" i="12"/>
  <c r="E10" i="13"/>
  <c r="P11" i="12"/>
  <c r="B12" i="13"/>
  <c r="H10" i="8"/>
  <c r="I10" i="8" s="1"/>
  <c r="J10" i="8" s="1"/>
  <c r="D63" i="13"/>
  <c r="H45" i="8"/>
  <c r="I45" i="8" s="1"/>
  <c r="J45" i="8" s="1"/>
  <c r="E18" i="13"/>
  <c r="B11" i="12"/>
  <c r="B19" i="12"/>
  <c r="E9" i="13"/>
  <c r="H7" i="8"/>
  <c r="I7" i="8" s="1"/>
  <c r="J7" i="8" s="1"/>
  <c r="E16" i="13"/>
  <c r="B19" i="13"/>
  <c r="G12" i="8"/>
  <c r="B48" i="8"/>
  <c r="B12" i="8"/>
  <c r="E15" i="13"/>
  <c r="B15" i="13"/>
  <c r="B10" i="13"/>
  <c r="B9" i="13"/>
  <c r="E17" i="13"/>
  <c r="B10" i="12"/>
  <c r="D50" i="12"/>
  <c r="C52" i="12"/>
  <c r="D54" i="12" l="1"/>
  <c r="C49" i="8" s="1"/>
  <c r="E49" i="8" s="1"/>
  <c r="F49" i="8" s="1"/>
  <c r="N58" i="12"/>
  <c r="G58" i="12"/>
  <c r="E10" i="12"/>
  <c r="O52" i="12"/>
  <c r="B15" i="12"/>
  <c r="E13" i="21"/>
  <c r="B13" i="21"/>
  <c r="B14" i="21" s="1"/>
  <c r="B20" i="21" s="1"/>
  <c r="C14" i="21"/>
  <c r="AG11" i="8"/>
  <c r="B13" i="25"/>
  <c r="B14" i="25" s="1"/>
  <c r="B20" i="25" s="1"/>
  <c r="C14" i="25"/>
  <c r="AD11" i="8"/>
  <c r="E13" i="25"/>
  <c r="H11" i="8"/>
  <c r="I11" i="8" s="1"/>
  <c r="J11" i="8" s="1"/>
  <c r="C13" i="26"/>
  <c r="E17" i="12"/>
  <c r="C14" i="13"/>
  <c r="H12" i="8" s="1"/>
  <c r="I12" i="8" s="1"/>
  <c r="J12" i="8" s="1"/>
  <c r="C14" i="12"/>
  <c r="C12" i="8" s="1"/>
  <c r="E12" i="8" s="1"/>
  <c r="F12" i="8" s="1"/>
  <c r="C11" i="8"/>
  <c r="E11" i="8" s="1"/>
  <c r="F11" i="8" s="1"/>
  <c r="E15" i="12"/>
  <c r="C45" i="8"/>
  <c r="E45" i="8" s="1"/>
  <c r="F45" i="8" s="1"/>
  <c r="G18" i="8"/>
  <c r="B18" i="8"/>
  <c r="I14" i="13"/>
  <c r="E13" i="13"/>
  <c r="B13" i="13"/>
  <c r="B14" i="13" s="1"/>
  <c r="B20" i="13" s="1"/>
  <c r="D53" i="12"/>
  <c r="C48" i="8" s="1"/>
  <c r="E48" i="8" s="1"/>
  <c r="F48" i="8" s="1"/>
  <c r="I14" i="12"/>
  <c r="B13" i="12"/>
  <c r="B14" i="12" s="1"/>
  <c r="B20" i="12" s="1"/>
  <c r="E13" i="12"/>
  <c r="H58" i="12"/>
  <c r="G53" i="12"/>
  <c r="I7" i="12"/>
  <c r="E18" i="12"/>
  <c r="D63" i="12"/>
  <c r="E19" i="12"/>
  <c r="E9" i="12"/>
  <c r="E16" i="12"/>
  <c r="E12" i="12"/>
  <c r="E11" i="12"/>
  <c r="E14" i="21" l="1"/>
  <c r="E20" i="21" s="1"/>
  <c r="C20" i="21"/>
  <c r="D14" i="21" s="1"/>
  <c r="AG12" i="8"/>
  <c r="C14" i="20"/>
  <c r="B13" i="20"/>
  <c r="B14" i="20" s="1"/>
  <c r="B20" i="20" s="1"/>
  <c r="E13" i="20"/>
  <c r="AC11" i="8"/>
  <c r="AE11" i="8" s="1"/>
  <c r="AF11" i="8" s="1"/>
  <c r="G35" i="8"/>
  <c r="AH11" i="8"/>
  <c r="AI11" i="8" s="1"/>
  <c r="AJ11" i="8" s="1"/>
  <c r="C14" i="26"/>
  <c r="B13" i="26"/>
  <c r="B14" i="26" s="1"/>
  <c r="B20" i="26" s="1"/>
  <c r="E13" i="26"/>
  <c r="AD12" i="8"/>
  <c r="C20" i="25"/>
  <c r="E14" i="25"/>
  <c r="E20" i="25" s="1"/>
  <c r="C20" i="12"/>
  <c r="C18" i="8" s="1"/>
  <c r="E18" i="8" s="1"/>
  <c r="F18" i="8" s="1"/>
  <c r="E14" i="12"/>
  <c r="E20" i="12" s="1"/>
  <c r="C20" i="13"/>
  <c r="H18" i="8" s="1"/>
  <c r="I18" i="8" s="1"/>
  <c r="J18" i="8" s="1"/>
  <c r="E14" i="13"/>
  <c r="E20" i="13" s="1"/>
  <c r="B35" i="8"/>
  <c r="C55" i="12"/>
  <c r="C20" i="20" l="1"/>
  <c r="E14" i="20"/>
  <c r="E20" i="20" s="1"/>
  <c r="AC12" i="8"/>
  <c r="AE12" i="8" s="1"/>
  <c r="AF12" i="8" s="1"/>
  <c r="D17" i="21"/>
  <c r="D9" i="21"/>
  <c r="D12" i="21"/>
  <c r="D18" i="21"/>
  <c r="D11" i="21"/>
  <c r="C40" i="21"/>
  <c r="AG35" i="8" s="1"/>
  <c r="D19" i="21"/>
  <c r="D10" i="21"/>
  <c r="D16" i="21"/>
  <c r="D15" i="21"/>
  <c r="D68" i="21"/>
  <c r="D20" i="21"/>
  <c r="AG18" i="8"/>
  <c r="D13" i="21"/>
  <c r="D9" i="25"/>
  <c r="D19" i="25"/>
  <c r="D18" i="25"/>
  <c r="D11" i="25"/>
  <c r="D12" i="25"/>
  <c r="C40" i="25"/>
  <c r="AD35" i="8" s="1"/>
  <c r="D10" i="25"/>
  <c r="D17" i="25"/>
  <c r="D20" i="25"/>
  <c r="D16" i="25"/>
  <c r="D15" i="25"/>
  <c r="D68" i="25"/>
  <c r="AD18" i="8"/>
  <c r="D13" i="25"/>
  <c r="AH12" i="8"/>
  <c r="AI12" i="8" s="1"/>
  <c r="AJ12" i="8" s="1"/>
  <c r="C20" i="26"/>
  <c r="E14" i="26"/>
  <c r="E20" i="26" s="1"/>
  <c r="D14" i="25"/>
  <c r="D15" i="12"/>
  <c r="D68" i="12"/>
  <c r="D17" i="12"/>
  <c r="C40" i="12"/>
  <c r="C35" i="8" s="1"/>
  <c r="E35" i="8" s="1"/>
  <c r="F35" i="8" s="1"/>
  <c r="D9" i="12"/>
  <c r="D16" i="12"/>
  <c r="D20" i="12"/>
  <c r="D13" i="12"/>
  <c r="D10" i="12"/>
  <c r="D19" i="12"/>
  <c r="D14" i="12"/>
  <c r="D11" i="12"/>
  <c r="D12" i="12"/>
  <c r="D18" i="12"/>
  <c r="D10" i="13"/>
  <c r="D15" i="13"/>
  <c r="D11" i="13"/>
  <c r="D12" i="13"/>
  <c r="D19" i="13"/>
  <c r="D14" i="13"/>
  <c r="D18" i="13"/>
  <c r="D13" i="13"/>
  <c r="C40" i="13"/>
  <c r="H35" i="8" s="1"/>
  <c r="I35" i="8" s="1"/>
  <c r="J35" i="8" s="1"/>
  <c r="D16" i="13"/>
  <c r="D9" i="13"/>
  <c r="D20" i="13"/>
  <c r="D17" i="13"/>
  <c r="D68" i="13"/>
  <c r="D15" i="20" l="1"/>
  <c r="D11" i="20"/>
  <c r="D10" i="20"/>
  <c r="C40" i="20"/>
  <c r="AC35" i="8" s="1"/>
  <c r="AE35" i="8" s="1"/>
  <c r="AF35" i="8" s="1"/>
  <c r="D9" i="20"/>
  <c r="D19" i="20"/>
  <c r="D20" i="20"/>
  <c r="D17" i="20"/>
  <c r="D12" i="20"/>
  <c r="D68" i="20"/>
  <c r="D16" i="20"/>
  <c r="D18" i="20"/>
  <c r="AC18" i="8"/>
  <c r="AE18" i="8" s="1"/>
  <c r="AF18" i="8" s="1"/>
  <c r="D13" i="20"/>
  <c r="D14" i="20"/>
  <c r="D15" i="26"/>
  <c r="D20" i="26"/>
  <c r="D18" i="26"/>
  <c r="D10" i="26"/>
  <c r="D17" i="26"/>
  <c r="D12" i="26"/>
  <c r="AH18" i="8"/>
  <c r="AI18" i="8" s="1"/>
  <c r="AJ18" i="8" s="1"/>
  <c r="D68" i="26"/>
  <c r="C40" i="26"/>
  <c r="AH35" i="8" s="1"/>
  <c r="AI35" i="8" s="1"/>
  <c r="AJ35" i="8" s="1"/>
  <c r="D19" i="26"/>
  <c r="D16" i="26"/>
  <c r="D9" i="26"/>
  <c r="D11" i="26"/>
  <c r="D13" i="26"/>
  <c r="D14" i="26"/>
  <c r="I8" i="39" l="1"/>
  <c r="I9" i="39"/>
  <c r="I11" i="39"/>
  <c r="I12" i="39"/>
  <c r="I13" i="39"/>
  <c r="I15" i="39"/>
  <c r="B30" i="39"/>
  <c r="C30" i="39"/>
  <c r="F30" i="39"/>
  <c r="G30" i="39"/>
  <c r="B31" i="39"/>
  <c r="C31" i="39"/>
  <c r="B32" i="39"/>
  <c r="C32" i="39"/>
  <c r="E32" i="39"/>
  <c r="B33" i="39"/>
  <c r="C33" i="39"/>
  <c r="F34" i="39"/>
  <c r="C39" i="39"/>
  <c r="C41" i="39"/>
  <c r="B51" i="39"/>
  <c r="B52" i="39"/>
  <c r="G52" i="39"/>
  <c r="H52" i="39"/>
  <c r="I52" i="39"/>
  <c r="N52" i="39"/>
  <c r="P52" i="39"/>
  <c r="B55" i="39"/>
  <c r="B56" i="39"/>
  <c r="B57" i="39"/>
  <c r="G57" i="39"/>
  <c r="H57" i="39"/>
  <c r="I57" i="39"/>
  <c r="O57" i="39"/>
  <c r="P57" i="39"/>
  <c r="Q57" i="39"/>
  <c r="B58" i="39"/>
  <c r="D64" i="39"/>
  <c r="D65" i="39"/>
  <c r="D66" i="39"/>
  <c r="D67" i="39"/>
  <c r="D69" i="39"/>
  <c r="I8" i="40"/>
  <c r="I9" i="40"/>
  <c r="I11" i="40"/>
  <c r="I12" i="40"/>
  <c r="I13" i="40"/>
  <c r="I15" i="40"/>
  <c r="B30" i="40"/>
  <c r="C30" i="40"/>
  <c r="F30" i="40"/>
  <c r="G30" i="40"/>
  <c r="B31" i="40"/>
  <c r="C31" i="40"/>
  <c r="B32" i="40"/>
  <c r="C32" i="40"/>
  <c r="E32" i="40"/>
  <c r="B33" i="40"/>
  <c r="C33" i="40"/>
  <c r="F34" i="40"/>
  <c r="C39" i="40"/>
  <c r="C41" i="40"/>
  <c r="B51" i="40"/>
  <c r="B52" i="40"/>
  <c r="G52" i="40"/>
  <c r="H52" i="40"/>
  <c r="I52" i="40"/>
  <c r="P52" i="40"/>
  <c r="R52" i="40"/>
  <c r="B55" i="40"/>
  <c r="B56" i="40"/>
  <c r="B57" i="40"/>
  <c r="G57" i="40"/>
  <c r="H57" i="40"/>
  <c r="I57" i="40"/>
  <c r="O57" i="40"/>
  <c r="P57" i="40"/>
  <c r="Q57" i="40"/>
  <c r="B58" i="40"/>
  <c r="D64" i="40"/>
  <c r="D65" i="40"/>
  <c r="D66" i="40"/>
  <c r="D67" i="40"/>
  <c r="D69" i="40"/>
  <c r="I8" i="38"/>
  <c r="I9" i="38"/>
  <c r="I11" i="38"/>
  <c r="I12" i="38"/>
  <c r="I13" i="38"/>
  <c r="I15" i="38"/>
  <c r="B30" i="38"/>
  <c r="C30" i="38"/>
  <c r="F30" i="38"/>
  <c r="G30" i="38"/>
  <c r="B31" i="38"/>
  <c r="C31" i="38"/>
  <c r="B32" i="38"/>
  <c r="C32" i="38"/>
  <c r="E32" i="38"/>
  <c r="B33" i="38"/>
  <c r="C33" i="38"/>
  <c r="F34" i="38"/>
  <c r="C39" i="38"/>
  <c r="C41" i="38"/>
  <c r="B51" i="38"/>
  <c r="B52" i="38"/>
  <c r="G52" i="38"/>
  <c r="H52" i="38"/>
  <c r="I52" i="38"/>
  <c r="N52" i="38"/>
  <c r="P52" i="38"/>
  <c r="B55" i="38"/>
  <c r="B56" i="38"/>
  <c r="B57" i="38"/>
  <c r="G57" i="38"/>
  <c r="H57" i="38"/>
  <c r="I57" i="38"/>
  <c r="O57" i="38"/>
  <c r="P57" i="38"/>
  <c r="Q57" i="38"/>
  <c r="B58" i="38"/>
  <c r="D64" i="38"/>
  <c r="D65" i="38"/>
  <c r="D66" i="38"/>
  <c r="D67" i="38"/>
  <c r="D69" i="38"/>
  <c r="I8" i="19"/>
  <c r="I9" i="19"/>
  <c r="I11" i="19"/>
  <c r="I12" i="19"/>
  <c r="I13" i="19"/>
  <c r="I15" i="19"/>
  <c r="B28" i="19"/>
  <c r="C28" i="19"/>
  <c r="E28" i="19"/>
  <c r="B30" i="19"/>
  <c r="C30" i="19"/>
  <c r="F30" i="19"/>
  <c r="G30" i="19"/>
  <c r="B31" i="19"/>
  <c r="C31" i="19"/>
  <c r="B32" i="19"/>
  <c r="C32" i="19"/>
  <c r="E32" i="19"/>
  <c r="B33" i="19"/>
  <c r="C33" i="19"/>
  <c r="F34" i="19"/>
  <c r="C39" i="19"/>
  <c r="C41" i="19"/>
  <c r="B51" i="19"/>
  <c r="B52" i="19"/>
  <c r="G52" i="19"/>
  <c r="H52" i="19"/>
  <c r="I52" i="19"/>
  <c r="N52" i="19"/>
  <c r="P52" i="19"/>
  <c r="B55" i="19"/>
  <c r="B56" i="19"/>
  <c r="B57" i="19"/>
  <c r="G57" i="19"/>
  <c r="H57" i="19"/>
  <c r="I57" i="19"/>
  <c r="N57" i="19"/>
  <c r="O57" i="19"/>
  <c r="P57" i="19"/>
  <c r="Q57" i="19"/>
  <c r="B58" i="19"/>
  <c r="D64" i="19"/>
  <c r="D65" i="19"/>
  <c r="D66" i="19"/>
  <c r="D67" i="19"/>
  <c r="D69" i="19"/>
  <c r="I8" i="21"/>
  <c r="I9" i="21"/>
  <c r="I11" i="21"/>
  <c r="I12" i="21"/>
  <c r="I13" i="21"/>
  <c r="I15" i="21"/>
  <c r="B28" i="21"/>
  <c r="C28" i="21"/>
  <c r="E28" i="21"/>
  <c r="B30" i="21"/>
  <c r="C30" i="21"/>
  <c r="F30" i="21"/>
  <c r="G30" i="21"/>
  <c r="B31" i="21"/>
  <c r="C31" i="21"/>
  <c r="B32" i="21"/>
  <c r="C32" i="21"/>
  <c r="E32" i="21"/>
  <c r="B33" i="21"/>
  <c r="C33" i="21"/>
  <c r="F34" i="21"/>
  <c r="C39" i="21"/>
  <c r="C41" i="21"/>
  <c r="B51" i="21"/>
  <c r="B52" i="21"/>
  <c r="G52" i="21"/>
  <c r="H52" i="21"/>
  <c r="I52" i="21"/>
  <c r="N52" i="21"/>
  <c r="P52" i="21"/>
  <c r="B55" i="21"/>
  <c r="B56" i="21"/>
  <c r="B57" i="21"/>
  <c r="G57" i="21"/>
  <c r="H57" i="21"/>
  <c r="I57" i="21"/>
  <c r="N57" i="21"/>
  <c r="O57" i="21"/>
  <c r="P57" i="21"/>
  <c r="Q57" i="21"/>
  <c r="B58" i="21"/>
  <c r="D64" i="21"/>
  <c r="D65" i="21"/>
  <c r="D66" i="21"/>
  <c r="D67" i="21"/>
  <c r="D69" i="21"/>
  <c r="I8" i="15"/>
  <c r="I9" i="15"/>
  <c r="I11" i="15"/>
  <c r="I12" i="15"/>
  <c r="I13" i="15"/>
  <c r="I15" i="15"/>
  <c r="B28" i="15"/>
  <c r="C28" i="15"/>
  <c r="E28" i="15"/>
  <c r="B30" i="15"/>
  <c r="C30" i="15"/>
  <c r="F30" i="15"/>
  <c r="G30" i="15"/>
  <c r="B31" i="15"/>
  <c r="C31" i="15"/>
  <c r="B32" i="15"/>
  <c r="C32" i="15"/>
  <c r="E32" i="15"/>
  <c r="B33" i="15"/>
  <c r="C33" i="15"/>
  <c r="F34" i="15"/>
  <c r="C39" i="15"/>
  <c r="C41" i="15"/>
  <c r="B51" i="15"/>
  <c r="B52" i="15"/>
  <c r="G52" i="15"/>
  <c r="H52" i="15"/>
  <c r="I52" i="15"/>
  <c r="N52" i="15"/>
  <c r="P52" i="15"/>
  <c r="B55" i="15"/>
  <c r="B56" i="15"/>
  <c r="B57" i="15"/>
  <c r="G57" i="15"/>
  <c r="H57" i="15"/>
  <c r="I57" i="15"/>
  <c r="N57" i="15"/>
  <c r="O57" i="15"/>
  <c r="P57" i="15"/>
  <c r="Q57" i="15"/>
  <c r="B58" i="15"/>
  <c r="D64" i="15"/>
  <c r="D65" i="15"/>
  <c r="D66" i="15"/>
  <c r="D67" i="15"/>
  <c r="D69" i="15"/>
  <c r="I8" i="18"/>
  <c r="I9" i="18"/>
  <c r="I11" i="18"/>
  <c r="I12" i="18"/>
  <c r="I13" i="18"/>
  <c r="I15" i="18"/>
  <c r="B28" i="18"/>
  <c r="C28" i="18"/>
  <c r="E28" i="18"/>
  <c r="B30" i="18"/>
  <c r="C30" i="18"/>
  <c r="F30" i="18"/>
  <c r="G30" i="18"/>
  <c r="B31" i="18"/>
  <c r="C31" i="18"/>
  <c r="B32" i="18"/>
  <c r="C32" i="18"/>
  <c r="E32" i="18"/>
  <c r="B33" i="18"/>
  <c r="C33" i="18"/>
  <c r="F34" i="18"/>
  <c r="C39" i="18"/>
  <c r="C41" i="18"/>
  <c r="B51" i="18"/>
  <c r="D51" i="18"/>
  <c r="B52" i="18"/>
  <c r="D52" i="18"/>
  <c r="G52" i="18"/>
  <c r="H52" i="18"/>
  <c r="I52" i="18"/>
  <c r="N52" i="18"/>
  <c r="P52" i="18"/>
  <c r="B55" i="18"/>
  <c r="D55" i="18"/>
  <c r="B56" i="18"/>
  <c r="C56" i="18"/>
  <c r="D56" i="18"/>
  <c r="B57" i="18"/>
  <c r="C57" i="18"/>
  <c r="D57" i="18"/>
  <c r="G57" i="18"/>
  <c r="H57" i="18"/>
  <c r="N57" i="18"/>
  <c r="O57" i="18"/>
  <c r="B58" i="18"/>
  <c r="C58" i="18"/>
  <c r="D58" i="18"/>
  <c r="I58" i="18"/>
  <c r="P58" i="18"/>
  <c r="Q58" i="18"/>
  <c r="D64" i="18"/>
  <c r="D65" i="18"/>
  <c r="D66" i="18"/>
  <c r="D67" i="18"/>
  <c r="D69" i="18"/>
  <c r="I8" i="20"/>
  <c r="I9" i="20"/>
  <c r="I11" i="20"/>
  <c r="I12" i="20"/>
  <c r="I13" i="20"/>
  <c r="I15" i="20"/>
  <c r="B28" i="20"/>
  <c r="C28" i="20"/>
  <c r="E28" i="20"/>
  <c r="B30" i="20"/>
  <c r="C30" i="20"/>
  <c r="F30" i="20"/>
  <c r="G30" i="20"/>
  <c r="B31" i="20"/>
  <c r="C31" i="20"/>
  <c r="B32" i="20"/>
  <c r="C32" i="20"/>
  <c r="E32" i="20"/>
  <c r="B33" i="20"/>
  <c r="C33" i="20"/>
  <c r="F34" i="20"/>
  <c r="C39" i="20"/>
  <c r="C41" i="20"/>
  <c r="B51" i="20"/>
  <c r="D51" i="20"/>
  <c r="B52" i="20"/>
  <c r="D52" i="20"/>
  <c r="G52" i="20"/>
  <c r="H52" i="20"/>
  <c r="I52" i="20"/>
  <c r="N52" i="20"/>
  <c r="P52" i="20"/>
  <c r="B55" i="20"/>
  <c r="D55" i="20"/>
  <c r="B56" i="20"/>
  <c r="C56" i="20"/>
  <c r="D56" i="20"/>
  <c r="B57" i="20"/>
  <c r="C57" i="20"/>
  <c r="D57" i="20"/>
  <c r="G57" i="20"/>
  <c r="H57" i="20"/>
  <c r="N57" i="20"/>
  <c r="O57" i="20"/>
  <c r="B58" i="20"/>
  <c r="C58" i="20"/>
  <c r="D58" i="20"/>
  <c r="I58" i="20"/>
  <c r="P58" i="20"/>
  <c r="Q58" i="20"/>
  <c r="D64" i="20"/>
  <c r="D65" i="20"/>
  <c r="D66" i="20"/>
  <c r="D67" i="20"/>
  <c r="D69" i="20"/>
  <c r="I8" i="14"/>
  <c r="I9" i="14"/>
  <c r="I11" i="14"/>
  <c r="I12" i="14"/>
  <c r="I13" i="14"/>
  <c r="I15" i="14"/>
  <c r="B28" i="14"/>
  <c r="C28" i="14"/>
  <c r="E28" i="14"/>
  <c r="B30" i="14"/>
  <c r="C30" i="14"/>
  <c r="F30" i="14"/>
  <c r="G30" i="14"/>
  <c r="B31" i="14"/>
  <c r="C31" i="14"/>
  <c r="B32" i="14"/>
  <c r="C32" i="14"/>
  <c r="E32" i="14"/>
  <c r="B33" i="14"/>
  <c r="C33" i="14"/>
  <c r="F34" i="14"/>
  <c r="C39" i="14"/>
  <c r="C41" i="14"/>
  <c r="B51" i="14"/>
  <c r="D51" i="14"/>
  <c r="B52" i="14"/>
  <c r="D52" i="14"/>
  <c r="G52" i="14"/>
  <c r="H52" i="14"/>
  <c r="I52" i="14"/>
  <c r="N52" i="14"/>
  <c r="P52" i="14"/>
  <c r="B55" i="14"/>
  <c r="D55" i="14"/>
  <c r="B56" i="14"/>
  <c r="C56" i="14"/>
  <c r="D56" i="14"/>
  <c r="B57" i="14"/>
  <c r="C57" i="14"/>
  <c r="D57" i="14"/>
  <c r="G57" i="14"/>
  <c r="H57" i="14"/>
  <c r="N57" i="14"/>
  <c r="O57" i="14"/>
  <c r="B58" i="14"/>
  <c r="C58" i="14"/>
  <c r="D58" i="14"/>
  <c r="I58" i="14"/>
  <c r="P58" i="14"/>
  <c r="Q58" i="14"/>
  <c r="D64" i="14"/>
  <c r="D65" i="14"/>
  <c r="D66" i="14"/>
  <c r="D67" i="14"/>
  <c r="D69" i="14"/>
  <c r="I8" i="32"/>
  <c r="I9" i="32"/>
  <c r="I11" i="32"/>
  <c r="I12" i="32"/>
  <c r="I13" i="32"/>
  <c r="I15" i="32"/>
  <c r="B30" i="32"/>
  <c r="C30" i="32"/>
  <c r="F30" i="32"/>
  <c r="G30" i="32"/>
  <c r="B31" i="32"/>
  <c r="C31" i="32"/>
  <c r="B32" i="32"/>
  <c r="C32" i="32"/>
  <c r="E32" i="32"/>
  <c r="B33" i="32"/>
  <c r="C33" i="32"/>
  <c r="F34" i="32"/>
  <c r="C39" i="32"/>
  <c r="C41" i="32"/>
  <c r="B51" i="32"/>
  <c r="B52" i="32"/>
  <c r="G52" i="32"/>
  <c r="H52" i="32"/>
  <c r="I52" i="32"/>
  <c r="N52" i="32"/>
  <c r="P52" i="32"/>
  <c r="B55" i="32"/>
  <c r="B56" i="32"/>
  <c r="B57" i="32"/>
  <c r="G57" i="32"/>
  <c r="H57" i="32"/>
  <c r="I57" i="32"/>
  <c r="O57" i="32"/>
  <c r="P57" i="32"/>
  <c r="Q57" i="32"/>
  <c r="B58" i="32"/>
  <c r="D64" i="32"/>
  <c r="D65" i="32"/>
  <c r="D66" i="32"/>
  <c r="D67" i="32"/>
  <c r="D69" i="32"/>
  <c r="I8" i="34"/>
  <c r="I9" i="34"/>
  <c r="I11" i="34"/>
  <c r="I12" i="34"/>
  <c r="I13" i="34"/>
  <c r="I15" i="34"/>
  <c r="B30" i="34"/>
  <c r="C30" i="34"/>
  <c r="F30" i="34"/>
  <c r="G30" i="34"/>
  <c r="B31" i="34"/>
  <c r="C31" i="34"/>
  <c r="B32" i="34"/>
  <c r="C32" i="34"/>
  <c r="E32" i="34"/>
  <c r="B33" i="34"/>
  <c r="C33" i="34"/>
  <c r="F34" i="34"/>
  <c r="C39" i="34"/>
  <c r="C41" i="34"/>
  <c r="B51" i="34"/>
  <c r="B52" i="34"/>
  <c r="G52" i="34"/>
  <c r="H52" i="34"/>
  <c r="I52" i="34"/>
  <c r="P52" i="34"/>
  <c r="R52" i="34"/>
  <c r="B55" i="34"/>
  <c r="B56" i="34"/>
  <c r="B57" i="34"/>
  <c r="G57" i="34"/>
  <c r="H57" i="34"/>
  <c r="I57" i="34"/>
  <c r="O57" i="34"/>
  <c r="P57" i="34"/>
  <c r="Q57" i="34"/>
  <c r="B58" i="34"/>
  <c r="D64" i="34"/>
  <c r="D65" i="34"/>
  <c r="D66" i="34"/>
  <c r="D67" i="34"/>
  <c r="D69" i="34"/>
  <c r="I8" i="30"/>
  <c r="I9" i="30"/>
  <c r="I11" i="30"/>
  <c r="I12" i="30"/>
  <c r="I13" i="30"/>
  <c r="I15" i="30"/>
  <c r="B30" i="30"/>
  <c r="C30" i="30"/>
  <c r="F30" i="30"/>
  <c r="G30" i="30"/>
  <c r="B31" i="30"/>
  <c r="C31" i="30"/>
  <c r="B32" i="30"/>
  <c r="C32" i="30"/>
  <c r="E32" i="30"/>
  <c r="B33" i="30"/>
  <c r="C33" i="30"/>
  <c r="F34" i="30"/>
  <c r="C39" i="30"/>
  <c r="C41" i="30"/>
  <c r="B51" i="30"/>
  <c r="B52" i="30"/>
  <c r="G52" i="30"/>
  <c r="H52" i="30"/>
  <c r="I52" i="30"/>
  <c r="N52" i="30"/>
  <c r="P52" i="30"/>
  <c r="B55" i="30"/>
  <c r="B56" i="30"/>
  <c r="B57" i="30"/>
  <c r="G57" i="30"/>
  <c r="H57" i="30"/>
  <c r="I57" i="30"/>
  <c r="O57" i="30"/>
  <c r="P57" i="30"/>
  <c r="Q57" i="30"/>
  <c r="B58" i="30"/>
  <c r="D64" i="30"/>
  <c r="D65" i="30"/>
  <c r="D66" i="30"/>
  <c r="D67" i="30"/>
  <c r="D69" i="30"/>
  <c r="I8" i="24"/>
  <c r="I9" i="24"/>
  <c r="I11" i="24"/>
  <c r="I12" i="24"/>
  <c r="I13" i="24"/>
  <c r="I15" i="24"/>
  <c r="B28" i="24"/>
  <c r="C28" i="24"/>
  <c r="E28" i="24"/>
  <c r="B30" i="24"/>
  <c r="C30" i="24"/>
  <c r="F30" i="24"/>
  <c r="G30" i="24"/>
  <c r="B31" i="24"/>
  <c r="C31" i="24"/>
  <c r="B32" i="24"/>
  <c r="C32" i="24"/>
  <c r="E32" i="24"/>
  <c r="B33" i="24"/>
  <c r="C33" i="24"/>
  <c r="F34" i="24"/>
  <c r="C39" i="24"/>
  <c r="C41" i="24"/>
  <c r="B51" i="24"/>
  <c r="B52" i="24"/>
  <c r="G52" i="24"/>
  <c r="H52" i="24"/>
  <c r="I52" i="24"/>
  <c r="N52" i="24"/>
  <c r="P52" i="24"/>
  <c r="B55" i="24"/>
  <c r="B56" i="24"/>
  <c r="B57" i="24"/>
  <c r="G57" i="24"/>
  <c r="H57" i="24"/>
  <c r="I57" i="24"/>
  <c r="N57" i="24"/>
  <c r="O57" i="24"/>
  <c r="P57" i="24"/>
  <c r="Q57" i="24"/>
  <c r="B58" i="24"/>
  <c r="D64" i="24"/>
  <c r="D65" i="24"/>
  <c r="D66" i="24"/>
  <c r="D67" i="24"/>
  <c r="D69" i="24"/>
  <c r="I8" i="26"/>
  <c r="I9" i="26"/>
  <c r="I11" i="26"/>
  <c r="I12" i="26"/>
  <c r="I13" i="26"/>
  <c r="I15" i="26"/>
  <c r="B28" i="26"/>
  <c r="C28" i="26"/>
  <c r="E28" i="26"/>
  <c r="B30" i="26"/>
  <c r="C30" i="26"/>
  <c r="F30" i="26"/>
  <c r="G30" i="26"/>
  <c r="B31" i="26"/>
  <c r="C31" i="26"/>
  <c r="B32" i="26"/>
  <c r="C32" i="26"/>
  <c r="E32" i="26"/>
  <c r="B33" i="26"/>
  <c r="C33" i="26"/>
  <c r="F34" i="26"/>
  <c r="C39" i="26"/>
  <c r="C41" i="26"/>
  <c r="B51" i="26"/>
  <c r="B52" i="26"/>
  <c r="G52" i="26"/>
  <c r="H52" i="26"/>
  <c r="I52" i="26"/>
  <c r="N52" i="26"/>
  <c r="P52" i="26"/>
  <c r="B55" i="26"/>
  <c r="B56" i="26"/>
  <c r="B57" i="26"/>
  <c r="G57" i="26"/>
  <c r="H57" i="26"/>
  <c r="I57" i="26"/>
  <c r="N57" i="26"/>
  <c r="O57" i="26"/>
  <c r="P57" i="26"/>
  <c r="Q57" i="26"/>
  <c r="B58" i="26"/>
  <c r="D64" i="26"/>
  <c r="D65" i="26"/>
  <c r="D66" i="26"/>
  <c r="D67" i="26"/>
  <c r="D69" i="26"/>
  <c r="I8" i="13"/>
  <c r="I9" i="13"/>
  <c r="I11" i="13"/>
  <c r="I12" i="13"/>
  <c r="I13" i="13"/>
  <c r="I15" i="13"/>
  <c r="B28" i="13"/>
  <c r="C28" i="13"/>
  <c r="E28" i="13"/>
  <c r="B30" i="13"/>
  <c r="C30" i="13"/>
  <c r="F30" i="13"/>
  <c r="G30" i="13"/>
  <c r="B31" i="13"/>
  <c r="C31" i="13"/>
  <c r="B32" i="13"/>
  <c r="C32" i="13"/>
  <c r="E32" i="13"/>
  <c r="B33" i="13"/>
  <c r="C33" i="13"/>
  <c r="F34" i="13"/>
  <c r="C39" i="13"/>
  <c r="C41" i="13"/>
  <c r="B51" i="13"/>
  <c r="B52" i="13"/>
  <c r="G52" i="13"/>
  <c r="H52" i="13"/>
  <c r="I52" i="13"/>
  <c r="N52" i="13"/>
  <c r="P52" i="13"/>
  <c r="B55" i="13"/>
  <c r="B56" i="13"/>
  <c r="B57" i="13"/>
  <c r="G57" i="13"/>
  <c r="H57" i="13"/>
  <c r="I57" i="13"/>
  <c r="N57" i="13"/>
  <c r="O57" i="13"/>
  <c r="P57" i="13"/>
  <c r="Q57" i="13"/>
  <c r="B58" i="13"/>
  <c r="D64" i="13"/>
  <c r="D65" i="13"/>
  <c r="D66" i="13"/>
  <c r="D67" i="13"/>
  <c r="D69" i="13"/>
  <c r="I8" i="22"/>
  <c r="I9" i="22"/>
  <c r="I11" i="22"/>
  <c r="I12" i="22"/>
  <c r="I13" i="22"/>
  <c r="I15" i="22"/>
  <c r="B28" i="22"/>
  <c r="C28" i="22"/>
  <c r="E28" i="22"/>
  <c r="B30" i="22"/>
  <c r="C30" i="22"/>
  <c r="F30" i="22"/>
  <c r="G30" i="22"/>
  <c r="B31" i="22"/>
  <c r="C31" i="22"/>
  <c r="B32" i="22"/>
  <c r="C32" i="22"/>
  <c r="E32" i="22"/>
  <c r="B33" i="22"/>
  <c r="C33" i="22"/>
  <c r="F34" i="22"/>
  <c r="C39" i="22"/>
  <c r="C41" i="22"/>
  <c r="B51" i="22"/>
  <c r="D51" i="22"/>
  <c r="B52" i="22"/>
  <c r="D52" i="22"/>
  <c r="G52" i="22"/>
  <c r="H52" i="22"/>
  <c r="I52" i="22"/>
  <c r="N52" i="22"/>
  <c r="P52" i="22"/>
  <c r="B55" i="22"/>
  <c r="D55" i="22"/>
  <c r="B56" i="22"/>
  <c r="C56" i="22"/>
  <c r="D56" i="22"/>
  <c r="B57" i="22"/>
  <c r="C57" i="22"/>
  <c r="D57" i="22"/>
  <c r="G57" i="22"/>
  <c r="H57" i="22"/>
  <c r="N57" i="22"/>
  <c r="O57" i="22"/>
  <c r="B58" i="22"/>
  <c r="C58" i="22"/>
  <c r="D58" i="22"/>
  <c r="I58" i="22"/>
  <c r="P58" i="22"/>
  <c r="Q58" i="22"/>
  <c r="D64" i="22"/>
  <c r="D65" i="22"/>
  <c r="D66" i="22"/>
  <c r="D67" i="22"/>
  <c r="D69" i="22"/>
  <c r="I8" i="25"/>
  <c r="I9" i="25"/>
  <c r="I11" i="25"/>
  <c r="I12" i="25"/>
  <c r="I13" i="25"/>
  <c r="I15" i="25"/>
  <c r="B28" i="25"/>
  <c r="C28" i="25"/>
  <c r="E28" i="25"/>
  <c r="B30" i="25"/>
  <c r="C30" i="25"/>
  <c r="F30" i="25"/>
  <c r="G30" i="25"/>
  <c r="B31" i="25"/>
  <c r="C31" i="25"/>
  <c r="B32" i="25"/>
  <c r="C32" i="25"/>
  <c r="E32" i="25"/>
  <c r="B33" i="25"/>
  <c r="C33" i="25"/>
  <c r="F34" i="25"/>
  <c r="C39" i="25"/>
  <c r="C41" i="25"/>
  <c r="B51" i="25"/>
  <c r="D51" i="25"/>
  <c r="B52" i="25"/>
  <c r="D52" i="25"/>
  <c r="G52" i="25"/>
  <c r="H52" i="25"/>
  <c r="I52" i="25"/>
  <c r="N52" i="25"/>
  <c r="P52" i="25"/>
  <c r="B55" i="25"/>
  <c r="D55" i="25"/>
  <c r="B56" i="25"/>
  <c r="C56" i="25"/>
  <c r="D56" i="25"/>
  <c r="B57" i="25"/>
  <c r="C57" i="25"/>
  <c r="D57" i="25"/>
  <c r="G57" i="25"/>
  <c r="H57" i="25"/>
  <c r="N57" i="25"/>
  <c r="O57" i="25"/>
  <c r="B58" i="25"/>
  <c r="C58" i="25"/>
  <c r="D58" i="25"/>
  <c r="I58" i="25"/>
  <c r="P58" i="25"/>
  <c r="Q58" i="25"/>
  <c r="D64" i="25"/>
  <c r="D65" i="25"/>
  <c r="D66" i="25"/>
  <c r="D67" i="25"/>
  <c r="D69" i="25"/>
  <c r="I8" i="12"/>
  <c r="I9" i="12"/>
  <c r="I11" i="12"/>
  <c r="I12" i="12"/>
  <c r="I13" i="12"/>
  <c r="I15" i="12"/>
  <c r="B28" i="12"/>
  <c r="C28" i="12"/>
  <c r="E28" i="12"/>
  <c r="B30" i="12"/>
  <c r="C30" i="12"/>
  <c r="F30" i="12"/>
  <c r="G30" i="12"/>
  <c r="B31" i="12"/>
  <c r="C31" i="12"/>
  <c r="B32" i="12"/>
  <c r="C32" i="12"/>
  <c r="E32" i="12"/>
  <c r="B33" i="12"/>
  <c r="C33" i="12"/>
  <c r="F34" i="12"/>
  <c r="C39" i="12"/>
  <c r="C41" i="12"/>
  <c r="B51" i="12"/>
  <c r="D51" i="12"/>
  <c r="B52" i="12"/>
  <c r="D52" i="12"/>
  <c r="G52" i="12"/>
  <c r="H52" i="12"/>
  <c r="I52" i="12"/>
  <c r="N52" i="12"/>
  <c r="P52" i="12"/>
  <c r="B55" i="12"/>
  <c r="D55" i="12"/>
  <c r="B56" i="12"/>
  <c r="C56" i="12"/>
  <c r="D56" i="12"/>
  <c r="B57" i="12"/>
  <c r="C57" i="12"/>
  <c r="D57" i="12"/>
  <c r="G57" i="12"/>
  <c r="H57" i="12"/>
  <c r="N57" i="12"/>
  <c r="O57" i="12"/>
  <c r="B58" i="12"/>
  <c r="C58" i="12"/>
  <c r="D58" i="12"/>
  <c r="I58" i="12"/>
  <c r="P58" i="12"/>
  <c r="Q58" i="12"/>
  <c r="D64" i="12"/>
  <c r="D65" i="12"/>
  <c r="D66" i="12"/>
  <c r="D67" i="12"/>
  <c r="D69" i="12"/>
  <c r="B24" i="8"/>
  <c r="C24" i="8"/>
  <c r="E24" i="8"/>
  <c r="F24" i="8"/>
  <c r="G24" i="8"/>
  <c r="H24" i="8"/>
  <c r="I24" i="8"/>
  <c r="J24" i="8"/>
  <c r="P24" i="8"/>
  <c r="Q24" i="8"/>
  <c r="R24" i="8"/>
  <c r="S24" i="8"/>
  <c r="T24" i="8"/>
  <c r="U24" i="8"/>
  <c r="V24" i="8"/>
  <c r="W24" i="8"/>
  <c r="AC24" i="8"/>
  <c r="AD24" i="8"/>
  <c r="AE24" i="8"/>
  <c r="AF24" i="8"/>
  <c r="AG24" i="8"/>
  <c r="AH24" i="8"/>
  <c r="AI24" i="8"/>
  <c r="AJ24" i="8"/>
  <c r="B25" i="8"/>
  <c r="C25" i="8"/>
  <c r="E25" i="8"/>
  <c r="F25" i="8"/>
  <c r="G25" i="8"/>
  <c r="H25" i="8"/>
  <c r="I25" i="8"/>
  <c r="J25" i="8"/>
  <c r="K25" i="8"/>
  <c r="L25" i="8"/>
  <c r="M25" i="8"/>
  <c r="N25" i="8"/>
  <c r="P25" i="8"/>
  <c r="Q25" i="8"/>
  <c r="R25" i="8"/>
  <c r="S25" i="8"/>
  <c r="T25" i="8"/>
  <c r="U25" i="8"/>
  <c r="V25" i="8"/>
  <c r="W25" i="8"/>
  <c r="X25" i="8"/>
  <c r="Y25" i="8"/>
  <c r="Z25" i="8"/>
  <c r="AA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B26" i="8"/>
  <c r="C26" i="8"/>
  <c r="G26" i="8"/>
  <c r="H26" i="8"/>
  <c r="I26" i="8"/>
  <c r="J26" i="8"/>
  <c r="K26" i="8"/>
  <c r="L26" i="8"/>
  <c r="M26" i="8"/>
  <c r="P26" i="8"/>
  <c r="Q26" i="8"/>
  <c r="R26" i="8"/>
  <c r="S26" i="8"/>
  <c r="T26" i="8"/>
  <c r="U26" i="8"/>
  <c r="V26" i="8"/>
  <c r="W26" i="8"/>
  <c r="X26" i="8"/>
  <c r="Y26" i="8"/>
  <c r="Z26" i="8"/>
  <c r="AC26" i="8"/>
  <c r="AD26" i="8"/>
  <c r="AE26" i="8"/>
  <c r="AF26" i="8"/>
  <c r="AG26" i="8"/>
  <c r="AH26" i="8"/>
  <c r="AI26" i="8"/>
  <c r="AJ26" i="8"/>
  <c r="AK26" i="8"/>
  <c r="AL26" i="8"/>
  <c r="AM26" i="8"/>
  <c r="B27" i="8"/>
  <c r="C27" i="8"/>
  <c r="G27" i="8"/>
  <c r="H27" i="8"/>
  <c r="I27" i="8"/>
  <c r="J27" i="8"/>
  <c r="K27" i="8"/>
  <c r="L27" i="8"/>
  <c r="M27" i="8"/>
  <c r="P27" i="8"/>
  <c r="Q27" i="8"/>
  <c r="R27" i="8"/>
  <c r="S27" i="8"/>
  <c r="T27" i="8"/>
  <c r="U27" i="8"/>
  <c r="V27" i="8"/>
  <c r="W27" i="8"/>
  <c r="X27" i="8"/>
  <c r="Y27" i="8"/>
  <c r="Z27" i="8"/>
  <c r="AC27" i="8"/>
  <c r="AD27" i="8"/>
  <c r="AE27" i="8"/>
  <c r="AF27" i="8"/>
  <c r="AG27" i="8"/>
  <c r="AH27" i="8"/>
  <c r="AI27" i="8"/>
  <c r="AJ27" i="8"/>
  <c r="AK27" i="8"/>
  <c r="AL27" i="8"/>
  <c r="AM27" i="8"/>
  <c r="B28" i="8"/>
  <c r="C28" i="8"/>
  <c r="E28" i="8"/>
  <c r="F28" i="8"/>
  <c r="G28" i="8"/>
  <c r="H28" i="8"/>
  <c r="I28" i="8"/>
  <c r="J28" i="8"/>
  <c r="K28" i="8"/>
  <c r="L28" i="8"/>
  <c r="M28" i="8"/>
  <c r="N28" i="8"/>
  <c r="P28" i="8"/>
  <c r="Q28" i="8"/>
  <c r="R28" i="8"/>
  <c r="S28" i="8"/>
  <c r="T28" i="8"/>
  <c r="U28" i="8"/>
  <c r="V28" i="8"/>
  <c r="W28" i="8"/>
  <c r="X28" i="8"/>
  <c r="Y28" i="8"/>
  <c r="Z28" i="8"/>
  <c r="AA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B34" i="8"/>
  <c r="C34" i="8"/>
  <c r="E34" i="8"/>
  <c r="F34" i="8"/>
  <c r="G34" i="8"/>
  <c r="H34" i="8"/>
  <c r="I34" i="8"/>
  <c r="J34" i="8"/>
  <c r="K34" i="8"/>
  <c r="L34" i="8"/>
  <c r="M34" i="8"/>
  <c r="N34" i="8"/>
  <c r="P34" i="8"/>
  <c r="Q34" i="8"/>
  <c r="R34" i="8"/>
  <c r="S34" i="8"/>
  <c r="T34" i="8"/>
  <c r="U34" i="8"/>
  <c r="V34" i="8"/>
  <c r="W34" i="8"/>
  <c r="X34" i="8"/>
  <c r="Y34" i="8"/>
  <c r="Z34" i="8"/>
  <c r="AA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B36" i="8"/>
  <c r="C36" i="8"/>
  <c r="G36" i="8"/>
  <c r="H36" i="8"/>
  <c r="P36" i="8"/>
  <c r="Q36" i="8"/>
  <c r="T36" i="8"/>
  <c r="U36" i="8"/>
  <c r="AC36" i="8"/>
  <c r="AD36" i="8"/>
  <c r="AG36" i="8"/>
  <c r="AH36" i="8"/>
  <c r="B46" i="8"/>
  <c r="C46" i="8"/>
  <c r="E46" i="8"/>
  <c r="F46" i="8"/>
  <c r="G46" i="8"/>
  <c r="H46" i="8"/>
  <c r="I46" i="8"/>
  <c r="J46" i="8"/>
  <c r="K46" i="8"/>
  <c r="L46" i="8"/>
  <c r="M46" i="8"/>
  <c r="P46" i="8"/>
  <c r="Q46" i="8"/>
  <c r="R46" i="8"/>
  <c r="S46" i="8"/>
  <c r="T46" i="8"/>
  <c r="U46" i="8"/>
  <c r="V46" i="8"/>
  <c r="W46" i="8"/>
  <c r="X46" i="8"/>
  <c r="Y46" i="8"/>
  <c r="Z46" i="8"/>
  <c r="AC46" i="8"/>
  <c r="AD46" i="8"/>
  <c r="AE46" i="8"/>
  <c r="AF46" i="8"/>
  <c r="AG46" i="8"/>
  <c r="AH46" i="8"/>
  <c r="AI46" i="8"/>
  <c r="AJ46" i="8"/>
  <c r="AK46" i="8"/>
  <c r="AL46" i="8"/>
  <c r="AM46" i="8"/>
  <c r="B47" i="8"/>
  <c r="C47" i="8"/>
  <c r="E47" i="8"/>
  <c r="F47" i="8"/>
  <c r="G47" i="8"/>
  <c r="H47" i="8"/>
  <c r="I47" i="8"/>
  <c r="J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B50" i="8"/>
  <c r="C50" i="8"/>
  <c r="E50" i="8"/>
  <c r="F50" i="8"/>
  <c r="G50" i="8"/>
  <c r="H50" i="8"/>
  <c r="I50" i="8"/>
  <c r="J50" i="8"/>
  <c r="K50" i="8"/>
  <c r="L50" i="8"/>
  <c r="M50" i="8"/>
  <c r="N50" i="8"/>
  <c r="P50" i="8"/>
  <c r="Q50" i="8"/>
  <c r="R50" i="8"/>
  <c r="S50" i="8"/>
  <c r="T50" i="8"/>
  <c r="U50" i="8"/>
  <c r="V50" i="8"/>
  <c r="W50" i="8"/>
  <c r="X50" i="8"/>
  <c r="Y50" i="8"/>
  <c r="Z50" i="8"/>
  <c r="AA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B51" i="8"/>
  <c r="C51" i="8"/>
  <c r="E51" i="8"/>
  <c r="F51" i="8"/>
  <c r="G51" i="8"/>
  <c r="H51" i="8"/>
  <c r="I51" i="8"/>
  <c r="J51" i="8"/>
  <c r="K51" i="8"/>
  <c r="L51" i="8"/>
  <c r="M51" i="8"/>
  <c r="N51" i="8"/>
  <c r="P51" i="8"/>
  <c r="Q51" i="8"/>
  <c r="R51" i="8"/>
  <c r="S51" i="8"/>
  <c r="T51" i="8"/>
  <c r="U51" i="8"/>
  <c r="V51" i="8"/>
  <c r="W51" i="8"/>
  <c r="X51" i="8"/>
  <c r="Y51" i="8"/>
  <c r="Z51" i="8"/>
  <c r="AA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B52" i="8"/>
  <c r="C52" i="8"/>
  <c r="E52" i="8"/>
  <c r="F52" i="8"/>
  <c r="G52" i="8"/>
  <c r="H52" i="8"/>
  <c r="I52" i="8"/>
  <c r="J52" i="8"/>
  <c r="K52" i="8"/>
  <c r="L52" i="8"/>
  <c r="M52" i="8"/>
  <c r="N52" i="8"/>
  <c r="P52" i="8"/>
  <c r="Q52" i="8"/>
  <c r="R52" i="8"/>
  <c r="S52" i="8"/>
  <c r="T52" i="8"/>
  <c r="U52" i="8"/>
  <c r="V52" i="8"/>
  <c r="W52" i="8"/>
  <c r="X52" i="8"/>
  <c r="Y52" i="8"/>
  <c r="Z52" i="8"/>
  <c r="AA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B53" i="8"/>
  <c r="C53" i="8"/>
  <c r="E53" i="8"/>
  <c r="F53" i="8"/>
  <c r="G53" i="8"/>
  <c r="H53" i="8"/>
  <c r="I53" i="8"/>
  <c r="J53" i="8"/>
  <c r="K53" i="8"/>
  <c r="L53" i="8"/>
  <c r="M53" i="8"/>
  <c r="N53" i="8"/>
  <c r="P53" i="8"/>
  <c r="Q53" i="8"/>
  <c r="R53" i="8"/>
  <c r="S53" i="8"/>
  <c r="T53" i="8"/>
  <c r="U53" i="8"/>
  <c r="V53" i="8"/>
  <c r="W53" i="8"/>
  <c r="X53" i="8"/>
  <c r="Y53" i="8"/>
  <c r="Z53" i="8"/>
  <c r="AA53" i="8"/>
  <c r="AC53" i="8"/>
  <c r="AD53" i="8"/>
  <c r="AE53" i="8"/>
  <c r="AF53" i="8"/>
  <c r="AG53" i="8"/>
  <c r="AH53" i="8"/>
  <c r="AI53" i="8"/>
  <c r="AJ53" i="8"/>
  <c r="AK53" i="8"/>
  <c r="AL53" i="8"/>
  <c r="AM53" i="8"/>
  <c r="AN5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Jesse</author>
  </authors>
  <commentList>
    <comment ref="E11" authorId="0" shapeId="0" xr:uid="{936ED4DC-94FE-40E1-AB3D-C82700A22C5D}">
      <text>
        <r>
          <rPr>
            <b/>
            <sz val="9"/>
            <color indexed="81"/>
            <rFont val="Tahoma"/>
            <family val="2"/>
          </rPr>
          <t>Jesse:</t>
        </r>
        <r>
          <rPr>
            <sz val="9"/>
            <color indexed="81"/>
            <rFont val="Tahoma"/>
            <family val="2"/>
          </rPr>
          <t xml:space="preserve">
Due to cell phone being added as per updated MBM and other living wage calcuations</t>
        </r>
      </text>
    </comment>
    <comment ref="I11" authorId="0" shapeId="0" xr:uid="{CF10D6AE-3D52-42FE-A74E-2C66240E0B04}">
      <text>
        <r>
          <rPr>
            <b/>
            <sz val="9"/>
            <color indexed="81"/>
            <rFont val="Tahoma"/>
            <family val="2"/>
          </rPr>
          <t>Jesse:</t>
        </r>
        <r>
          <rPr>
            <sz val="9"/>
            <color indexed="81"/>
            <rFont val="Tahoma"/>
            <family val="2"/>
          </rPr>
          <t xml:space="preserve">
Due to cell phone being added as per updated MBM and other living wage calcuations</t>
        </r>
      </text>
    </comment>
    <comment ref="R11" authorId="0" shapeId="0" xr:uid="{A2330D7A-9129-4718-9660-4D7FEBF7EBB6}">
      <text>
        <r>
          <rPr>
            <b/>
            <sz val="9"/>
            <color indexed="81"/>
            <rFont val="Tahoma"/>
            <family val="2"/>
          </rPr>
          <t>Jesse:</t>
        </r>
        <r>
          <rPr>
            <sz val="9"/>
            <color indexed="81"/>
            <rFont val="Tahoma"/>
            <family val="2"/>
          </rPr>
          <t xml:space="preserve">
Due to cell phone being added as per updated MBM and other living wage calcuations</t>
        </r>
      </text>
    </comment>
    <comment ref="V11" authorId="0" shapeId="0" xr:uid="{6D20D973-43E4-410D-A897-0E69B30EDC96}">
      <text>
        <r>
          <rPr>
            <b/>
            <sz val="9"/>
            <color indexed="81"/>
            <rFont val="Tahoma"/>
            <family val="2"/>
          </rPr>
          <t>Jesse:</t>
        </r>
        <r>
          <rPr>
            <sz val="9"/>
            <color indexed="81"/>
            <rFont val="Tahoma"/>
            <family val="2"/>
          </rPr>
          <t xml:space="preserve">
Due to cell phone being added as per updated MBM and other living wage calcuations</t>
        </r>
      </text>
    </comment>
    <comment ref="AE11" authorId="0" shapeId="0" xr:uid="{AB397DFD-3D4A-4CBE-B8B2-5FD2561371C0}">
      <text>
        <r>
          <rPr>
            <b/>
            <sz val="9"/>
            <color indexed="81"/>
            <rFont val="Tahoma"/>
            <family val="2"/>
          </rPr>
          <t>Jesse:</t>
        </r>
        <r>
          <rPr>
            <sz val="9"/>
            <color indexed="81"/>
            <rFont val="Tahoma"/>
            <family val="2"/>
          </rPr>
          <t xml:space="preserve">
Due to cell phone being added as per updated MBM and other living wage calcuations</t>
        </r>
      </text>
    </comment>
    <comment ref="AI11" authorId="0" shapeId="0" xr:uid="{812ACD7C-D495-4960-B922-C30B55DF619A}">
      <text>
        <r>
          <rPr>
            <b/>
            <sz val="9"/>
            <color indexed="81"/>
            <rFont val="Tahoma"/>
            <family val="2"/>
          </rPr>
          <t>Jesse:</t>
        </r>
        <r>
          <rPr>
            <sz val="9"/>
            <color indexed="81"/>
            <rFont val="Tahoma"/>
            <family val="2"/>
          </rPr>
          <t xml:space="preserve">
Due to cell phone being added as per updated MBM and other living wage calcuations</t>
        </r>
      </text>
    </comment>
  </commentList>
</comments>
</file>

<file path=xl/sharedStrings.xml><?xml version="1.0" encoding="utf-8"?>
<sst xmlns="http://schemas.openxmlformats.org/spreadsheetml/2006/main" count="2138" uniqueCount="167">
  <si>
    <t>2P2C</t>
  </si>
  <si>
    <t>1P1C</t>
  </si>
  <si>
    <t>Change</t>
  </si>
  <si>
    <t>%</t>
  </si>
  <si>
    <t>Winnipeg</t>
  </si>
  <si>
    <t>Brandon</t>
  </si>
  <si>
    <t>Thompson</t>
  </si>
  <si>
    <t>Summary results</t>
  </si>
  <si>
    <t>WINNIPEG</t>
  </si>
  <si>
    <t>BRANDON</t>
  </si>
  <si>
    <t>THOMPSON</t>
  </si>
  <si>
    <t>Item</t>
  </si>
  <si>
    <t>Annually</t>
  </si>
  <si>
    <t>Modified MBM</t>
  </si>
  <si>
    <t xml:space="preserve">    Food</t>
  </si>
  <si>
    <t xml:space="preserve">    Clothing and Footwear</t>
  </si>
  <si>
    <t xml:space="preserve">    Shelter</t>
  </si>
  <si>
    <t xml:space="preserve">    Transportation</t>
  </si>
  <si>
    <t xml:space="preserve">    Other</t>
  </si>
  <si>
    <t>Subtotal</t>
  </si>
  <si>
    <t>Child Care</t>
  </si>
  <si>
    <t>MSP Premiums</t>
  </si>
  <si>
    <t>Private Health Insurance</t>
  </si>
  <si>
    <t>Adult Education</t>
  </si>
  <si>
    <t>2 Weeks Pay</t>
  </si>
  <si>
    <t>Total</t>
  </si>
  <si>
    <t>Benefit Income</t>
  </si>
  <si>
    <t>CCB</t>
  </si>
  <si>
    <t>GST</t>
  </si>
  <si>
    <t>Child Care Subs.</t>
  </si>
  <si>
    <t>Rent Assist</t>
  </si>
  <si>
    <t>Available Annual Income</t>
  </si>
  <si>
    <t>Annual Family Expenses</t>
  </si>
  <si>
    <t>Gap</t>
  </si>
  <si>
    <t>Parent 1</t>
  </si>
  <si>
    <t>Hours / Week</t>
  </si>
  <si>
    <t>Wage</t>
  </si>
  <si>
    <t>Employment Income</t>
  </si>
  <si>
    <t>Adjustments</t>
  </si>
  <si>
    <t>Taxable Income</t>
  </si>
  <si>
    <t>EI Premiums</t>
  </si>
  <si>
    <t>CPP Premiums</t>
  </si>
  <si>
    <t>Fed. Income Tax</t>
  </si>
  <si>
    <t>Prov. Income Tax</t>
  </si>
  <si>
    <t>After Tax Income</t>
  </si>
  <si>
    <t>Monthly After Tax Inc.</t>
  </si>
  <si>
    <t xml:space="preserve"> Living Wage Calculation: Winnipeg – 2022:  35 hrs/wk + 35 hrs/wk</t>
  </si>
  <si>
    <t xml:space="preserve">      Two Parent, Two Children, Two Income Family</t>
  </si>
  <si>
    <t>Parent ages 25 to 44, Children ages 4 (girl) and 7 (boy), 1 Child FT CC, 1 Child Before and After School Care and Summer Care, with a car and a bus pass</t>
  </si>
  <si>
    <t>Table I:  Family Expenses</t>
  </si>
  <si>
    <t>Monthly</t>
  </si>
  <si>
    <t>% of Total</t>
  </si>
  <si>
    <t>% of Pre Tax</t>
  </si>
  <si>
    <t>Pre Tax Inc.</t>
  </si>
  <si>
    <t>Child care calc</t>
  </si>
  <si>
    <t>Days</t>
  </si>
  <si>
    <t>max per day</t>
  </si>
  <si>
    <t>max</t>
  </si>
  <si>
    <t>min per day</t>
  </si>
  <si>
    <t>min</t>
  </si>
  <si>
    <t>Expenses</t>
  </si>
  <si>
    <t>Income</t>
  </si>
  <si>
    <t>Gov't Trans.</t>
  </si>
  <si>
    <t>work days = 243</t>
  </si>
  <si>
    <t>Total Inc.</t>
  </si>
  <si>
    <t>school days = 186</t>
  </si>
  <si>
    <t>full day care for 7 yr old = 45</t>
  </si>
  <si>
    <t>Family Taxes</t>
  </si>
  <si>
    <t>Gov't Trans</t>
  </si>
  <si>
    <t xml:space="preserve">+fees for single parent </t>
  </si>
  <si>
    <t>Difference</t>
  </si>
  <si>
    <t>EI+CPP</t>
  </si>
  <si>
    <t>Net Contr.</t>
  </si>
  <si>
    <t>Table II:  Non-Wage Income (Government Transfers)</t>
  </si>
  <si>
    <t>Formula</t>
  </si>
  <si>
    <t>1st threshold</t>
  </si>
  <si>
    <t>2nd threshold</t>
  </si>
  <si>
    <t>No CTB at FNI</t>
  </si>
  <si>
    <t>Family Bonus</t>
  </si>
  <si>
    <t>BC</t>
  </si>
  <si>
    <t>BC Reduction</t>
  </si>
  <si>
    <t>Net BC</t>
  </si>
  <si>
    <t>Rent Assist Program</t>
  </si>
  <si>
    <t>TAD</t>
  </si>
  <si>
    <t>Fee Charged</t>
  </si>
  <si>
    <t>Table III:  Family Income Less Family Expenses</t>
  </si>
  <si>
    <t>Table IV:  The Living Wage and Government Deductions and Taxes</t>
  </si>
  <si>
    <t>Parent 2</t>
  </si>
  <si>
    <t>Federal Tax</t>
  </si>
  <si>
    <t>Parent</t>
  </si>
  <si>
    <t>Txble Inc x Rate</t>
  </si>
  <si>
    <t>NRTC x Rate</t>
  </si>
  <si>
    <t>RTC x Rate</t>
  </si>
  <si>
    <t>Basic personal amount</t>
  </si>
  <si>
    <t>Canada Employment amount</t>
  </si>
  <si>
    <t>Medical Expense Amount</t>
  </si>
  <si>
    <t>Canada Worker Benefit</t>
  </si>
  <si>
    <t>Refundable Medexpense</t>
  </si>
  <si>
    <t>Climate Action Incentive</t>
  </si>
  <si>
    <t>Provincial Tax</t>
  </si>
  <si>
    <t>MB Credits</t>
  </si>
  <si>
    <t>Tuition textbook and education amount</t>
  </si>
  <si>
    <t>Family Tax Benefit</t>
  </si>
  <si>
    <t>Personal Tax Credit</t>
  </si>
  <si>
    <t>School tax Credit</t>
  </si>
  <si>
    <t>Table V:  Family Income less Gov't Deductions and Taxes plus Gov't Transfers</t>
  </si>
  <si>
    <t>Total Annual Income from Employment</t>
  </si>
  <si>
    <t xml:space="preserve">  - EI, CPP, Fed. and Prov. Taxes</t>
  </si>
  <si>
    <t>Equals Family Take Home Pay</t>
  </si>
  <si>
    <t xml:space="preserve">  + CCB and GST</t>
  </si>
  <si>
    <t>Equals Total Disposable Family Income</t>
  </si>
  <si>
    <t xml:space="preserve">  - Family Expenses</t>
  </si>
  <si>
    <t>Equals Income less expenses</t>
  </si>
  <si>
    <t xml:space="preserve"> Living Wage Calculation: Winnipeg – 2020:  35 hrs/wk + 35 hrs/wk</t>
  </si>
  <si>
    <t xml:space="preserve">             Living Wage Calculation: Winnipeg – 2022:  35 hrs/wk</t>
  </si>
  <si>
    <t xml:space="preserve">    Single (Female) Parent Family, One Child</t>
  </si>
  <si>
    <t xml:space="preserve">     Parent age 25-44, Child age 4, FT CC, with a Car</t>
  </si>
  <si>
    <t>Childcare fees</t>
  </si>
  <si>
    <t>used C&amp;F formular for adjustment</t>
  </si>
  <si>
    <t>RentAssist calc</t>
  </si>
  <si>
    <t>Annual Expenses</t>
  </si>
  <si>
    <t xml:space="preserve">                Table IV:  The Living Wage and Government Deductions and Taxes</t>
  </si>
  <si>
    <t>Pre Tax Income</t>
  </si>
  <si>
    <t>Basic personal + eligible dependant amount</t>
  </si>
  <si>
    <t>Family Income less Gov't Deductions and Taxes plus Gov't Transfers</t>
  </si>
  <si>
    <t xml:space="preserve">             Living Wage Calculation: Winnipeg – 2020:  35 hrs/wk</t>
  </si>
  <si>
    <t xml:space="preserve">    Single (Male) Individual</t>
  </si>
  <si>
    <t xml:space="preserve">     Age 25-44, with a monthly bus pass</t>
  </si>
  <si>
    <t>Individual 1</t>
  </si>
  <si>
    <t>Individual</t>
  </si>
  <si>
    <t>Basic personal</t>
  </si>
  <si>
    <t xml:space="preserve"> Living Wage Calculation: Brandon – 2022:  35 hrs/wk + 35 hrs/wk</t>
  </si>
  <si>
    <t>per day</t>
  </si>
  <si>
    <t>school days = 182</t>
  </si>
  <si>
    <t>uses median apt only rental rate</t>
  </si>
  <si>
    <t xml:space="preserve"> Living Wage Calculation: Brandon – 2020:  35 hrs/wk + 35 hrs/wk</t>
  </si>
  <si>
    <t xml:space="preserve">             Living Wage Calculation: Brandon - 2022:  35 hrs/wk</t>
  </si>
  <si>
    <t>Rent assist calc</t>
  </si>
  <si>
    <t xml:space="preserve">             Living Wage Calculation: Brandon - 2020:  35 hrs/wk</t>
  </si>
  <si>
    <t xml:space="preserve">     Individual age 25-44, with a monthly bus pass</t>
  </si>
  <si>
    <t xml:space="preserve"> Living Wage Calculation: Thompson – 2022:  35 hrs/wk + 35 hrs/wk</t>
  </si>
  <si>
    <t>Parent ages 25 to 44, Children ages 4 (girl) and 7 (boy), 1 Child FT CC, 1 Child Before and After School Care and Summer Care, with a Car and Bus Pass</t>
  </si>
  <si>
    <t>Northern Res deduction</t>
  </si>
  <si>
    <t xml:space="preserve"> Living Wage Calculation: Thompson – 2020:  35 hrs/wk + 35 hrs/wk</t>
  </si>
  <si>
    <t xml:space="preserve">             Living Wage Calculation: Thompson - 2022:  35 hrs/wk</t>
  </si>
  <si>
    <t>Childcare calculation</t>
  </si>
  <si>
    <t>Northern Res deduction+ additional amount</t>
  </si>
  <si>
    <t xml:space="preserve">             Living Wage Calculation: Thompson - 2020:  35 hrs/wk</t>
  </si>
  <si>
    <t xml:space="preserve">Basic personal </t>
  </si>
  <si>
    <t>Tuition</t>
  </si>
  <si>
    <t>Average Endowment fee</t>
  </si>
  <si>
    <t>6*4.791</t>
  </si>
  <si>
    <t>textbook and materials</t>
  </si>
  <si>
    <t>student org fee</t>
  </si>
  <si>
    <t>254+(0.745*6)</t>
  </si>
  <si>
    <t>tech fee</t>
  </si>
  <si>
    <t>6.99*6</t>
  </si>
  <si>
    <t>reg fee</t>
  </si>
  <si>
    <t>libr fee</t>
  </si>
  <si>
    <t>stundent service</t>
  </si>
  <si>
    <t>student rec fee</t>
  </si>
  <si>
    <t>69.93*2</t>
  </si>
  <si>
    <t>full day care for 7 yr old = 48</t>
  </si>
  <si>
    <t>Federal Tuition Amount</t>
  </si>
  <si>
    <t xml:space="preserve">     Age 25-44, with a Car</t>
  </si>
  <si>
    <t xml:space="preserve">     Individual age 25-44, with a Car</t>
  </si>
  <si>
    <t>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</si>
</sst>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5" formatCode="0.000"/>
    <numFmt numFmtId="166" formatCode="_(* #,##0.00_);_(* \(#,##0.00\);_(* \-??_);_(@_)"/>
    <numFmt numFmtId="167" formatCode="_(* #,##0_);_(* \(#,##0\);_(* \-??_);_(@_)"/>
    <numFmt numFmtId="168" formatCode="&quot;$&quot;#,##0.00"/>
    <numFmt numFmtId="169" formatCode="&quot;$&quot;#,##0.00;[Red]&quot;$&quot;#,##0.00"/>
  </numFmts>
  <fonts count="18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6" fontId="8" fillId="0" borderId="0" applyFill="0" applyBorder="0" applyAlignment="0" applyProtection="0"/>
    <xf numFmtId="0" fontId="8" fillId="0" borderId="0"/>
    <xf numFmtId="9" fontId="8" fillId="0" borderId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ill="0" applyBorder="0" applyAlignment="0" applyProtection="0"/>
    <xf numFmtId="166" fontId="6" fillId="0" borderId="0" applyFill="0" applyBorder="0" applyAlignment="0" applyProtection="0"/>
    <xf numFmtId="9" fontId="1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0" fillId="0" borderId="0" xfId="3" applyNumberFormat="1" applyFont="1" applyFill="1" applyBorder="1" applyAlignment="1" applyProtection="1"/>
    <xf numFmtId="164" fontId="9" fillId="0" borderId="1" xfId="3" applyNumberFormat="1" applyFont="1" applyFill="1" applyBorder="1" applyAlignment="1" applyProtection="1">
      <alignment horizontal="center"/>
    </xf>
    <xf numFmtId="164" fontId="5" fillId="0" borderId="1" xfId="3" applyNumberFormat="1" applyFont="1" applyFill="1" applyBorder="1" applyAlignment="1" applyProtection="1">
      <alignment horizontal="center"/>
    </xf>
    <xf numFmtId="164" fontId="9" fillId="0" borderId="0" xfId="3" applyNumberFormat="1" applyFont="1" applyFill="1" applyBorder="1" applyAlignment="1" applyProtection="1">
      <alignment horizontal="center"/>
    </xf>
    <xf numFmtId="166" fontId="9" fillId="0" borderId="0" xfId="1" applyFont="1" applyFill="1" applyBorder="1" applyAlignment="1" applyProtection="1"/>
    <xf numFmtId="167" fontId="9" fillId="0" borderId="0" xfId="1" applyNumberFormat="1" applyFont="1" applyFill="1" applyBorder="1" applyAlignment="1" applyProtection="1"/>
    <xf numFmtId="168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168" fontId="4" fillId="0" borderId="0" xfId="0" applyNumberFormat="1" applyFont="1"/>
    <xf numFmtId="0" fontId="4" fillId="2" borderId="0" xfId="0" applyFont="1" applyFill="1"/>
    <xf numFmtId="168" fontId="4" fillId="2" borderId="0" xfId="0" applyNumberFormat="1" applyFont="1" applyFill="1"/>
    <xf numFmtId="9" fontId="0" fillId="0" borderId="0" xfId="3" applyFont="1" applyFill="1" applyBorder="1" applyAlignment="1" applyProtection="1"/>
    <xf numFmtId="169" fontId="10" fillId="0" borderId="0" xfId="0" applyNumberFormat="1" applyFont="1"/>
    <xf numFmtId="168" fontId="10" fillId="0" borderId="0" xfId="0" applyNumberFormat="1" applyFont="1"/>
    <xf numFmtId="0" fontId="10" fillId="0" borderId="0" xfId="0" applyFont="1"/>
    <xf numFmtId="0" fontId="1" fillId="0" borderId="0" xfId="5" applyFont="1"/>
    <xf numFmtId="0" fontId="6" fillId="0" borderId="0" xfId="5"/>
    <xf numFmtId="0" fontId="2" fillId="0" borderId="0" xfId="5" applyFont="1"/>
    <xf numFmtId="17" fontId="3" fillId="0" borderId="0" xfId="5" applyNumberFormat="1" applyFont="1" applyAlignment="1">
      <alignment horizontal="right"/>
    </xf>
    <xf numFmtId="0" fontId="3" fillId="0" borderId="0" xfId="5" applyFont="1" applyAlignment="1">
      <alignment horizontal="left"/>
    </xf>
    <xf numFmtId="0" fontId="9" fillId="0" borderId="0" xfId="5" applyFont="1"/>
    <xf numFmtId="0" fontId="3" fillId="0" borderId="0" xfId="5" applyFont="1"/>
    <xf numFmtId="0" fontId="4" fillId="0" borderId="0" xfId="5" applyFont="1" applyAlignment="1">
      <alignment horizontal="center"/>
    </xf>
    <xf numFmtId="0" fontId="4" fillId="0" borderId="0" xfId="5" applyFont="1"/>
    <xf numFmtId="164" fontId="0" fillId="0" borderId="0" xfId="6" applyNumberFormat="1" applyFont="1" applyFill="1" applyBorder="1" applyAlignment="1" applyProtection="1"/>
    <xf numFmtId="0" fontId="4" fillId="0" borderId="1" xfId="5" applyFont="1" applyBorder="1"/>
    <xf numFmtId="0" fontId="4" fillId="0" borderId="1" xfId="5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0" fontId="9" fillId="0" borderId="0" xfId="5" applyFont="1" applyAlignment="1">
      <alignment horizontal="left"/>
    </xf>
    <xf numFmtId="2" fontId="9" fillId="0" borderId="0" xfId="5" applyNumberFormat="1" applyFont="1" applyAlignment="1">
      <alignment horizontal="right"/>
    </xf>
    <xf numFmtId="0" fontId="6" fillId="0" borderId="1" xfId="5" applyBorder="1"/>
    <xf numFmtId="2" fontId="6" fillId="0" borderId="1" xfId="5" applyNumberFormat="1" applyBorder="1"/>
    <xf numFmtId="0" fontId="5" fillId="0" borderId="1" xfId="5" applyFont="1" applyBorder="1"/>
    <xf numFmtId="2" fontId="6" fillId="0" borderId="0" xfId="5" applyNumberFormat="1"/>
    <xf numFmtId="2" fontId="9" fillId="0" borderId="0" xfId="5" applyNumberFormat="1" applyFont="1" applyAlignment="1">
      <alignment horizontal="left"/>
    </xf>
    <xf numFmtId="164" fontId="9" fillId="0" borderId="1" xfId="6" applyNumberFormat="1" applyFont="1" applyFill="1" applyBorder="1" applyAlignment="1" applyProtection="1">
      <alignment horizontal="center"/>
    </xf>
    <xf numFmtId="165" fontId="6" fillId="0" borderId="0" xfId="5" applyNumberFormat="1"/>
    <xf numFmtId="2" fontId="5" fillId="0" borderId="0" xfId="5" applyNumberFormat="1" applyFont="1" applyAlignment="1">
      <alignment horizontal="left"/>
    </xf>
    <xf numFmtId="2" fontId="5" fillId="0" borderId="0" xfId="5" applyNumberFormat="1" applyFont="1"/>
    <xf numFmtId="164" fontId="6" fillId="0" borderId="0" xfId="5" applyNumberFormat="1"/>
    <xf numFmtId="0" fontId="6" fillId="0" borderId="0" xfId="5" applyAlignment="1">
      <alignment horizontal="center"/>
    </xf>
    <xf numFmtId="2" fontId="9" fillId="0" borderId="0" xfId="5" applyNumberFormat="1" applyFont="1"/>
    <xf numFmtId="2" fontId="5" fillId="0" borderId="1" xfId="5" applyNumberFormat="1" applyFont="1" applyBorder="1"/>
    <xf numFmtId="164" fontId="5" fillId="0" borderId="1" xfId="6" applyNumberFormat="1" applyFont="1" applyFill="1" applyBorder="1" applyAlignment="1" applyProtection="1">
      <alignment horizontal="center"/>
    </xf>
    <xf numFmtId="0" fontId="5" fillId="0" borderId="0" xfId="5" applyFont="1"/>
    <xf numFmtId="1" fontId="6" fillId="0" borderId="0" xfId="5" applyNumberFormat="1"/>
    <xf numFmtId="10" fontId="9" fillId="0" borderId="1" xfId="5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2" fontId="5" fillId="0" borderId="0" xfId="5" applyNumberFormat="1" applyFont="1" applyAlignment="1">
      <alignment horizontal="center"/>
    </xf>
    <xf numFmtId="164" fontId="9" fillId="0" borderId="0" xfId="6" applyNumberFormat="1" applyFont="1" applyFill="1" applyBorder="1" applyAlignment="1" applyProtection="1">
      <alignment horizontal="center"/>
    </xf>
    <xf numFmtId="0" fontId="4" fillId="0" borderId="1" xfId="5" applyFont="1" applyBorder="1" applyAlignment="1">
      <alignment horizontal="left"/>
    </xf>
    <xf numFmtId="0" fontId="5" fillId="0" borderId="0" xfId="5" applyFont="1" applyAlignment="1">
      <alignment horizontal="left"/>
    </xf>
    <xf numFmtId="4" fontId="7" fillId="0" borderId="1" xfId="5" applyNumberFormat="1" applyFont="1" applyBorder="1"/>
    <xf numFmtId="166" fontId="9" fillId="0" borderId="0" xfId="7" applyFont="1" applyFill="1" applyBorder="1" applyAlignment="1" applyProtection="1"/>
    <xf numFmtId="167" fontId="9" fillId="0" borderId="0" xfId="7" applyNumberFormat="1" applyFont="1" applyFill="1" applyBorder="1" applyAlignment="1" applyProtection="1"/>
    <xf numFmtId="167" fontId="9" fillId="0" borderId="0" xfId="5" applyNumberFormat="1" applyFont="1"/>
    <xf numFmtId="2" fontId="4" fillId="0" borderId="0" xfId="5" applyNumberFormat="1" applyFont="1"/>
    <xf numFmtId="0" fontId="3" fillId="0" borderId="1" xfId="5" applyFont="1" applyBorder="1" applyAlignment="1">
      <alignment horizontal="center"/>
    </xf>
    <xf numFmtId="2" fontId="3" fillId="0" borderId="0" xfId="5" applyNumberFormat="1" applyFont="1"/>
    <xf numFmtId="1" fontId="9" fillId="0" borderId="0" xfId="5" applyNumberFormat="1" applyFont="1"/>
    <xf numFmtId="4" fontId="6" fillId="0" borderId="0" xfId="5" applyNumberFormat="1"/>
    <xf numFmtId="4" fontId="4" fillId="0" borderId="0" xfId="5" applyNumberFormat="1" applyFont="1"/>
    <xf numFmtId="9" fontId="0" fillId="0" borderId="0" xfId="6" applyFont="1" applyFill="1" applyBorder="1" applyAlignment="1" applyProtection="1"/>
    <xf numFmtId="0" fontId="2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165" fontId="5" fillId="0" borderId="0" xfId="5" applyNumberFormat="1" applyFont="1" applyAlignment="1">
      <alignment horizontal="center"/>
    </xf>
    <xf numFmtId="0" fontId="4" fillId="0" borderId="2" xfId="5" applyFont="1" applyBorder="1" applyAlignment="1">
      <alignment horizontal="center"/>
    </xf>
    <xf numFmtId="2" fontId="4" fillId="0" borderId="1" xfId="5" applyNumberFormat="1" applyFont="1" applyBorder="1"/>
    <xf numFmtId="2" fontId="6" fillId="0" borderId="0" xfId="5" applyNumberFormat="1" applyAlignment="1">
      <alignment horizontal="center"/>
    </xf>
    <xf numFmtId="0" fontId="0" fillId="3" borderId="0" xfId="0" applyFill="1"/>
    <xf numFmtId="0" fontId="4" fillId="3" borderId="0" xfId="0" applyFont="1" applyFill="1"/>
    <xf numFmtId="164" fontId="10" fillId="0" borderId="0" xfId="8" applyNumberFormat="1" applyFont="1"/>
    <xf numFmtId="0" fontId="4" fillId="0" borderId="0" xfId="0" applyFont="1" applyAlignment="1">
      <alignment horizontal="left"/>
    </xf>
    <xf numFmtId="0" fontId="7" fillId="0" borderId="0" xfId="0" applyFont="1"/>
    <xf numFmtId="164" fontId="10" fillId="0" borderId="0" xfId="8" applyNumberFormat="1" applyFont="1" applyFill="1"/>
    <xf numFmtId="0" fontId="1" fillId="0" borderId="0" xfId="2" applyFont="1"/>
    <xf numFmtId="0" fontId="8" fillId="0" borderId="0" xfId="2"/>
    <xf numFmtId="0" fontId="2" fillId="0" borderId="0" xfId="2" applyFont="1"/>
    <xf numFmtId="17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0" fontId="9" fillId="0" borderId="0" xfId="2" applyFont="1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9" fillId="0" borderId="0" xfId="2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8" fillId="0" borderId="1" xfId="2" applyBorder="1"/>
    <xf numFmtId="2" fontId="8" fillId="0" borderId="1" xfId="2" applyNumberFormat="1" applyBorder="1"/>
    <xf numFmtId="0" fontId="5" fillId="0" borderId="1" xfId="2" applyFont="1" applyBorder="1"/>
    <xf numFmtId="2" fontId="8" fillId="0" borderId="0" xfId="2" applyNumberFormat="1"/>
    <xf numFmtId="2" fontId="9" fillId="0" borderId="0" xfId="2" applyNumberFormat="1" applyFont="1" applyAlignment="1">
      <alignment horizontal="left"/>
    </xf>
    <xf numFmtId="165" fontId="8" fillId="0" borderId="0" xfId="2" applyNumberFormat="1"/>
    <xf numFmtId="2" fontId="5" fillId="0" borderId="0" xfId="2" applyNumberFormat="1" applyFont="1" applyAlignment="1">
      <alignment horizontal="left"/>
    </xf>
    <xf numFmtId="2" fontId="5" fillId="0" borderId="0" xfId="2" applyNumberFormat="1" applyFont="1"/>
    <xf numFmtId="164" fontId="8" fillId="0" borderId="0" xfId="2" applyNumberFormat="1"/>
    <xf numFmtId="0" fontId="8" fillId="0" borderId="0" xfId="2" applyAlignment="1">
      <alignment horizontal="center"/>
    </xf>
    <xf numFmtId="2" fontId="9" fillId="0" borderId="0" xfId="2" applyNumberFormat="1" applyFont="1"/>
    <xf numFmtId="2" fontId="5" fillId="0" borderId="1" xfId="2" applyNumberFormat="1" applyFont="1" applyBorder="1"/>
    <xf numFmtId="0" fontId="5" fillId="0" borderId="0" xfId="2" applyFont="1"/>
    <xf numFmtId="1" fontId="8" fillId="0" borderId="0" xfId="2" applyNumberFormat="1"/>
    <xf numFmtId="10" fontId="9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left"/>
    </xf>
    <xf numFmtId="0" fontId="5" fillId="0" borderId="0" xfId="2" applyFont="1" applyAlignment="1">
      <alignment horizontal="left"/>
    </xf>
    <xf numFmtId="4" fontId="7" fillId="0" borderId="1" xfId="2" applyNumberFormat="1" applyFont="1" applyBorder="1"/>
    <xf numFmtId="0" fontId="7" fillId="0" borderId="1" xfId="2" applyFont="1" applyBorder="1"/>
    <xf numFmtId="167" fontId="9" fillId="0" borderId="0" xfId="2" applyNumberFormat="1" applyFont="1"/>
    <xf numFmtId="4" fontId="7" fillId="0" borderId="0" xfId="2" applyNumberFormat="1" applyFont="1"/>
    <xf numFmtId="2" fontId="4" fillId="0" borderId="0" xfId="2" applyNumberFormat="1" applyFont="1"/>
    <xf numFmtId="0" fontId="3" fillId="0" borderId="1" xfId="2" applyFont="1" applyBorder="1" applyAlignment="1">
      <alignment horizontal="center"/>
    </xf>
    <xf numFmtId="2" fontId="3" fillId="0" borderId="0" xfId="2" applyNumberFormat="1" applyFont="1"/>
    <xf numFmtId="2" fontId="4" fillId="0" borderId="0" xfId="2" applyNumberFormat="1" applyFont="1" applyAlignment="1">
      <alignment horizontal="center"/>
    </xf>
    <xf numFmtId="0" fontId="8" fillId="0" borderId="1" xfId="2" applyBorder="1" applyAlignment="1">
      <alignment horizontal="right"/>
    </xf>
    <xf numFmtId="2" fontId="4" fillId="0" borderId="1" xfId="2" applyNumberFormat="1" applyFont="1" applyBorder="1"/>
    <xf numFmtId="2" fontId="8" fillId="0" borderId="1" xfId="2" applyNumberFormat="1" applyBorder="1" applyAlignment="1">
      <alignment horizontal="right"/>
    </xf>
    <xf numFmtId="1" fontId="9" fillId="0" borderId="0" xfId="2" applyNumberFormat="1" applyFont="1"/>
    <xf numFmtId="4" fontId="8" fillId="0" borderId="0" xfId="2" applyNumberFormat="1"/>
    <xf numFmtId="4" fontId="4" fillId="0" borderId="0" xfId="2" applyNumberFormat="1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0" fontId="4" fillId="0" borderId="2" xfId="2" applyFont="1" applyBorder="1" applyAlignment="1">
      <alignment horizontal="center"/>
    </xf>
    <xf numFmtId="2" fontId="8" fillId="0" borderId="0" xfId="2" applyNumberFormat="1" applyAlignment="1">
      <alignment horizontal="center"/>
    </xf>
    <xf numFmtId="0" fontId="7" fillId="0" borderId="1" xfId="5" applyFont="1" applyBorder="1"/>
    <xf numFmtId="2" fontId="4" fillId="0" borderId="0" xfId="5" applyNumberFormat="1" applyFont="1" applyAlignment="1">
      <alignment horizontal="center"/>
    </xf>
    <xf numFmtId="0" fontId="6" fillId="0" borderId="1" xfId="5" applyBorder="1" applyAlignment="1">
      <alignment horizontal="right"/>
    </xf>
    <xf numFmtId="2" fontId="6" fillId="0" borderId="1" xfId="5" applyNumberFormat="1" applyBorder="1" applyAlignment="1">
      <alignment horizontal="right"/>
    </xf>
    <xf numFmtId="0" fontId="1" fillId="4" borderId="0" xfId="5" applyFont="1" applyFill="1"/>
    <xf numFmtId="0" fontId="6" fillId="4" borderId="0" xfId="5" applyFill="1"/>
    <xf numFmtId="0" fontId="2" fillId="4" borderId="0" xfId="5" applyFont="1" applyFill="1"/>
    <xf numFmtId="17" fontId="3" fillId="4" borderId="0" xfId="5" applyNumberFormat="1" applyFont="1" applyFill="1" applyAlignment="1">
      <alignment horizontal="right"/>
    </xf>
    <xf numFmtId="0" fontId="3" fillId="4" borderId="0" xfId="5" applyFont="1" applyFill="1" applyAlignment="1">
      <alignment horizontal="left"/>
    </xf>
    <xf numFmtId="0" fontId="9" fillId="4" borderId="0" xfId="5" applyFont="1" applyFill="1"/>
    <xf numFmtId="0" fontId="3" fillId="4" borderId="0" xfId="5" applyFont="1" applyFill="1"/>
    <xf numFmtId="0" fontId="4" fillId="4" borderId="0" xfId="5" applyFont="1" applyFill="1" applyAlignment="1">
      <alignment horizontal="center"/>
    </xf>
    <xf numFmtId="0" fontId="4" fillId="4" borderId="0" xfId="5" applyFont="1" applyFill="1"/>
    <xf numFmtId="164" fontId="0" fillId="4" borderId="0" xfId="6" applyNumberFormat="1" applyFont="1" applyFill="1" applyBorder="1" applyAlignment="1" applyProtection="1"/>
    <xf numFmtId="0" fontId="4" fillId="4" borderId="1" xfId="5" applyFont="1" applyFill="1" applyBorder="1"/>
    <xf numFmtId="0" fontId="4" fillId="4" borderId="1" xfId="5" applyFont="1" applyFill="1" applyBorder="1" applyAlignment="1">
      <alignment horizontal="center"/>
    </xf>
    <xf numFmtId="0" fontId="5" fillId="4" borderId="1" xfId="5" applyFont="1" applyFill="1" applyBorder="1" applyAlignment="1">
      <alignment horizontal="center"/>
    </xf>
    <xf numFmtId="0" fontId="9" fillId="4" borderId="0" xfId="5" applyFont="1" applyFill="1" applyAlignment="1">
      <alignment horizontal="left"/>
    </xf>
    <xf numFmtId="2" fontId="9" fillId="4" borderId="0" xfId="5" applyNumberFormat="1" applyFont="1" applyFill="1" applyAlignment="1">
      <alignment horizontal="right"/>
    </xf>
    <xf numFmtId="0" fontId="6" fillId="4" borderId="1" xfId="5" applyFill="1" applyBorder="1"/>
    <xf numFmtId="2" fontId="6" fillId="4" borderId="1" xfId="5" applyNumberFormat="1" applyFill="1" applyBorder="1"/>
    <xf numFmtId="0" fontId="5" fillId="4" borderId="1" xfId="5" applyFont="1" applyFill="1" applyBorder="1"/>
    <xf numFmtId="2" fontId="6" fillId="4" borderId="0" xfId="5" applyNumberFormat="1" applyFill="1"/>
    <xf numFmtId="2" fontId="9" fillId="4" borderId="0" xfId="5" applyNumberFormat="1" applyFont="1" applyFill="1" applyAlignment="1">
      <alignment horizontal="left"/>
    </xf>
    <xf numFmtId="2" fontId="6" fillId="5" borderId="1" xfId="5" applyNumberFormat="1" applyFill="1" applyBorder="1"/>
    <xf numFmtId="164" fontId="9" fillId="4" borderId="1" xfId="6" applyNumberFormat="1" applyFont="1" applyFill="1" applyBorder="1" applyAlignment="1" applyProtection="1">
      <alignment horizontal="center"/>
    </xf>
    <xf numFmtId="165" fontId="6" fillId="4" borderId="0" xfId="5" applyNumberFormat="1" applyFill="1"/>
    <xf numFmtId="2" fontId="5" fillId="4" borderId="0" xfId="5" applyNumberFormat="1" applyFont="1" applyFill="1" applyAlignment="1">
      <alignment horizontal="left"/>
    </xf>
    <xf numFmtId="2" fontId="5" fillId="4" borderId="0" xfId="5" applyNumberFormat="1" applyFont="1" applyFill="1"/>
    <xf numFmtId="164" fontId="6" fillId="4" borderId="0" xfId="5" applyNumberFormat="1" applyFill="1"/>
    <xf numFmtId="0" fontId="6" fillId="4" borderId="0" xfId="5" applyFill="1" applyAlignment="1">
      <alignment horizontal="center"/>
    </xf>
    <xf numFmtId="2" fontId="6" fillId="5" borderId="0" xfId="5" applyNumberFormat="1" applyFill="1"/>
    <xf numFmtId="2" fontId="9" fillId="4" borderId="0" xfId="5" applyNumberFormat="1" applyFont="1" applyFill="1"/>
    <xf numFmtId="2" fontId="5" fillId="4" borderId="1" xfId="5" applyNumberFormat="1" applyFont="1" applyFill="1" applyBorder="1"/>
    <xf numFmtId="164" fontId="5" fillId="4" borderId="1" xfId="6" applyNumberFormat="1" applyFont="1" applyFill="1" applyBorder="1" applyAlignment="1" applyProtection="1">
      <alignment horizontal="center"/>
    </xf>
    <xf numFmtId="0" fontId="5" fillId="4" borderId="0" xfId="5" applyFont="1" applyFill="1"/>
    <xf numFmtId="1" fontId="6" fillId="4" borderId="0" xfId="5" applyNumberFormat="1" applyFill="1"/>
    <xf numFmtId="10" fontId="9" fillId="4" borderId="1" xfId="5" applyNumberFormat="1" applyFont="1" applyFill="1" applyBorder="1" applyAlignment="1">
      <alignment horizontal="center"/>
    </xf>
    <xf numFmtId="0" fontId="5" fillId="4" borderId="0" xfId="5" applyFont="1" applyFill="1" applyAlignment="1">
      <alignment horizontal="center"/>
    </xf>
    <xf numFmtId="2" fontId="5" fillId="4" borderId="0" xfId="5" applyNumberFormat="1" applyFont="1" applyFill="1" applyAlignment="1">
      <alignment horizontal="center"/>
    </xf>
    <xf numFmtId="164" fontId="9" fillId="4" borderId="0" xfId="6" applyNumberFormat="1" applyFont="1" applyFill="1" applyBorder="1" applyAlignment="1" applyProtection="1">
      <alignment horizontal="center"/>
    </xf>
    <xf numFmtId="0" fontId="4" fillId="4" borderId="1" xfId="5" applyFont="1" applyFill="1" applyBorder="1" applyAlignment="1">
      <alignment horizontal="left"/>
    </xf>
    <xf numFmtId="0" fontId="5" fillId="4" borderId="0" xfId="5" applyFont="1" applyFill="1" applyAlignment="1">
      <alignment horizontal="left"/>
    </xf>
    <xf numFmtId="4" fontId="7" fillId="4" borderId="1" xfId="5" applyNumberFormat="1" applyFont="1" applyFill="1" applyBorder="1"/>
    <xf numFmtId="166" fontId="9" fillId="4" borderId="0" xfId="7" applyFont="1" applyFill="1" applyBorder="1" applyAlignment="1" applyProtection="1"/>
    <xf numFmtId="167" fontId="9" fillId="4" borderId="0" xfId="7" applyNumberFormat="1" applyFont="1" applyFill="1" applyBorder="1" applyAlignment="1" applyProtection="1"/>
    <xf numFmtId="0" fontId="7" fillId="4" borderId="1" xfId="5" applyFont="1" applyFill="1" applyBorder="1"/>
    <xf numFmtId="4" fontId="7" fillId="6" borderId="1" xfId="5" applyNumberFormat="1" applyFont="1" applyFill="1" applyBorder="1"/>
    <xf numFmtId="2" fontId="9" fillId="5" borderId="0" xfId="5" applyNumberFormat="1" applyFont="1" applyFill="1"/>
    <xf numFmtId="0" fontId="9" fillId="5" borderId="0" xfId="5" applyFont="1" applyFill="1"/>
    <xf numFmtId="2" fontId="4" fillId="4" borderId="0" xfId="5" applyNumberFormat="1" applyFont="1" applyFill="1"/>
    <xf numFmtId="0" fontId="3" fillId="4" borderId="1" xfId="5" applyFont="1" applyFill="1" applyBorder="1" applyAlignment="1">
      <alignment horizontal="center"/>
    </xf>
    <xf numFmtId="2" fontId="3" fillId="4" borderId="0" xfId="5" applyNumberFormat="1" applyFont="1" applyFill="1"/>
    <xf numFmtId="2" fontId="4" fillId="4" borderId="0" xfId="5" applyNumberFormat="1" applyFont="1" applyFill="1" applyAlignment="1">
      <alignment horizontal="center"/>
    </xf>
    <xf numFmtId="0" fontId="6" fillId="4" borderId="1" xfId="5" applyFill="1" applyBorder="1" applyAlignment="1">
      <alignment horizontal="right"/>
    </xf>
    <xf numFmtId="2" fontId="4" fillId="5" borderId="1" xfId="5" applyNumberFormat="1" applyFont="1" applyFill="1" applyBorder="1"/>
    <xf numFmtId="2" fontId="6" fillId="4" borderId="1" xfId="5" applyNumberFormat="1" applyFill="1" applyBorder="1" applyAlignment="1">
      <alignment horizontal="right"/>
    </xf>
    <xf numFmtId="1" fontId="9" fillId="4" borderId="0" xfId="5" applyNumberFormat="1" applyFont="1" applyFill="1"/>
    <xf numFmtId="2" fontId="9" fillId="7" borderId="0" xfId="5" applyNumberFormat="1" applyFont="1" applyFill="1"/>
    <xf numFmtId="4" fontId="6" fillId="4" borderId="0" xfId="5" applyNumberFormat="1" applyFill="1"/>
    <xf numFmtId="4" fontId="4" fillId="4" borderId="0" xfId="5" applyNumberFormat="1" applyFont="1" applyFill="1"/>
    <xf numFmtId="9" fontId="0" fillId="4" borderId="0" xfId="6" applyFont="1" applyFill="1" applyBorder="1" applyAlignment="1" applyProtection="1"/>
    <xf numFmtId="0" fontId="12" fillId="0" borderId="0" xfId="0" applyFont="1"/>
    <xf numFmtId="0" fontId="6" fillId="0" borderId="0" xfId="0" applyFont="1"/>
    <xf numFmtId="168" fontId="6" fillId="0" borderId="0" xfId="0" applyNumberFormat="1" applyFont="1"/>
    <xf numFmtId="8" fontId="8" fillId="0" borderId="0" xfId="2" applyNumberFormat="1"/>
    <xf numFmtId="8" fontId="13" fillId="0" borderId="0" xfId="0" applyNumberFormat="1" applyFont="1"/>
    <xf numFmtId="0" fontId="6" fillId="0" borderId="0" xfId="2" applyFont="1"/>
    <xf numFmtId="2" fontId="6" fillId="0" borderId="1" xfId="2" applyNumberFormat="1" applyFont="1" applyBorder="1"/>
    <xf numFmtId="0" fontId="6" fillId="0" borderId="0" xfId="0" applyFont="1" applyAlignment="1">
      <alignment wrapText="1"/>
    </xf>
    <xf numFmtId="165" fontId="6" fillId="0" borderId="0" xfId="2" applyNumberFormat="1" applyFont="1"/>
    <xf numFmtId="0" fontId="8" fillId="8" borderId="1" xfId="2" applyFill="1" applyBorder="1"/>
    <xf numFmtId="0" fontId="8" fillId="9" borderId="0" xfId="2" applyFill="1"/>
    <xf numFmtId="0" fontId="6" fillId="10" borderId="1" xfId="5" applyFill="1" applyBorder="1"/>
    <xf numFmtId="0" fontId="6" fillId="8" borderId="1" xfId="5" applyFill="1" applyBorder="1"/>
    <xf numFmtId="0" fontId="14" fillId="0" borderId="0" xfId="5" applyFont="1"/>
    <xf numFmtId="0" fontId="6" fillId="10" borderId="0" xfId="5" applyFill="1"/>
    <xf numFmtId="0" fontId="7" fillId="8" borderId="1" xfId="5" applyFont="1" applyFill="1" applyBorder="1"/>
    <xf numFmtId="0" fontId="7" fillId="8" borderId="1" xfId="2" applyFont="1" applyFill="1" applyBorder="1"/>
    <xf numFmtId="168" fontId="10" fillId="2" borderId="0" xfId="0" applyNumberFormat="1" applyFont="1" applyFill="1"/>
    <xf numFmtId="168" fontId="6" fillId="0" borderId="0" xfId="9" applyNumberFormat="1" applyFont="1"/>
    <xf numFmtId="168" fontId="4" fillId="0" borderId="0" xfId="9" applyNumberFormat="1" applyFont="1"/>
    <xf numFmtId="168" fontId="0" fillId="0" borderId="0" xfId="9" applyNumberFormat="1" applyFont="1"/>
    <xf numFmtId="168" fontId="10" fillId="0" borderId="0" xfId="9" applyNumberFormat="1" applyFont="1"/>
  </cellXfs>
  <cellStyles count="10">
    <cellStyle name="Comma 2" xfId="1" xr:uid="{00000000-0005-0000-0000-000000000000}"/>
    <cellStyle name="Comma 3" xfId="7" xr:uid="{00000000-0005-0000-0000-000001000000}"/>
    <cellStyle name="Currency" xfId="9" builtinId="4"/>
    <cellStyle name="Normal" xfId="0" builtinId="0"/>
    <cellStyle name="Normal 2" xfId="2" xr:uid="{00000000-0005-0000-0000-000003000000}"/>
    <cellStyle name="Normal 3" xfId="5" xr:uid="{00000000-0005-0000-0000-000004000000}"/>
    <cellStyle name="Percent" xfId="8" builtinId="5"/>
    <cellStyle name="Percent 2" xfId="3" xr:uid="{00000000-0005-0000-0000-000006000000}"/>
    <cellStyle name="Percent 3" xfId="4" xr:uid="{00000000-0005-0000-0000-000007000000}"/>
    <cellStyle name="Percent 4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="160" zoomScaleNormal="160" workbookViewId="0"/>
  </sheetViews>
  <sheetFormatPr defaultRowHeight="13.2" x14ac:dyDescent="0.25"/>
  <cols>
    <col min="1" max="1" width="20.21875" customWidth="1"/>
    <col min="4" max="4" width="3.5546875" customWidth="1"/>
    <col min="14" max="14" width="8.77734375" style="2"/>
  </cols>
  <sheetData>
    <row r="1" spans="1:16" x14ac:dyDescent="0.25">
      <c r="F1" s="2"/>
      <c r="G1" s="2"/>
    </row>
    <row r="2" spans="1:16" x14ac:dyDescent="0.25">
      <c r="B2" s="2" t="s">
        <v>0</v>
      </c>
      <c r="C2" s="2"/>
      <c r="D2" s="2"/>
      <c r="E2" s="2"/>
      <c r="F2" s="2"/>
      <c r="G2" s="2"/>
      <c r="H2" s="2" t="s">
        <v>1</v>
      </c>
      <c r="I2" s="2"/>
      <c r="M2" s="2" t="s">
        <v>166</v>
      </c>
    </row>
    <row r="3" spans="1:16" x14ac:dyDescent="0.25">
      <c r="B3" s="195">
        <v>2020</v>
      </c>
      <c r="C3" s="2">
        <v>2022</v>
      </c>
      <c r="D3" s="2"/>
      <c r="E3" s="19" t="s">
        <v>2</v>
      </c>
      <c r="F3" s="194" t="s">
        <v>3</v>
      </c>
      <c r="G3" s="194"/>
      <c r="H3" s="195">
        <v>2020</v>
      </c>
      <c r="I3" s="2">
        <v>2022</v>
      </c>
      <c r="J3" s="19" t="s">
        <v>2</v>
      </c>
      <c r="K3" s="194" t="s">
        <v>3</v>
      </c>
      <c r="M3" s="195">
        <v>2020</v>
      </c>
      <c r="N3" s="2">
        <v>2022</v>
      </c>
      <c r="O3" s="19" t="s">
        <v>2</v>
      </c>
      <c r="P3" s="194" t="s">
        <v>3</v>
      </c>
    </row>
    <row r="4" spans="1:16" x14ac:dyDescent="0.25">
      <c r="A4" s="1"/>
      <c r="B4" s="196"/>
      <c r="C4" s="10"/>
      <c r="D4" s="10"/>
      <c r="E4" s="10"/>
      <c r="F4" s="10"/>
      <c r="G4" s="10"/>
      <c r="H4" s="196"/>
      <c r="I4" s="10"/>
    </row>
    <row r="5" spans="1:16" s="2" customFormat="1" x14ac:dyDescent="0.25">
      <c r="A5" s="2" t="s">
        <v>4</v>
      </c>
      <c r="B5" s="196">
        <f>'2020 2P2C WPG'!B48</f>
        <v>16.149999999999999</v>
      </c>
      <c r="C5" s="13">
        <f>'2022 2P2C WPG'!B48</f>
        <v>18.34</v>
      </c>
      <c r="D5" s="13"/>
      <c r="E5" s="18">
        <f>C5-B5</f>
        <v>2.1900000000000013</v>
      </c>
      <c r="F5" s="79">
        <f>E5/B5</f>
        <v>0.13560371517027872</v>
      </c>
      <c r="G5" s="79"/>
      <c r="H5" s="196">
        <f>'2020 1P1C WPG'!B48</f>
        <v>21.2</v>
      </c>
      <c r="I5" s="13">
        <f>'2022 1P1C WPG'!B48</f>
        <v>25.28</v>
      </c>
      <c r="J5" s="18">
        <f>I5-H5</f>
        <v>4.0800000000000018</v>
      </c>
      <c r="K5" s="79">
        <f>J5/H5</f>
        <v>0.19245283018867934</v>
      </c>
      <c r="M5" s="212">
        <f>'2020 1P WPG'!B48</f>
        <v>16.41</v>
      </c>
      <c r="N5" s="213">
        <f>'2022 1P WPG'!B48</f>
        <v>18.920000000000002</v>
      </c>
      <c r="O5" s="215">
        <f>N5-M5</f>
        <v>2.5100000000000016</v>
      </c>
      <c r="P5" s="76">
        <f>O5/M5</f>
        <v>0.15295551492992088</v>
      </c>
    </row>
    <row r="6" spans="1:16" x14ac:dyDescent="0.25">
      <c r="B6" s="195"/>
      <c r="H6" s="195"/>
      <c r="M6" s="214"/>
      <c r="N6" s="213"/>
      <c r="O6" s="215"/>
      <c r="P6" s="76"/>
    </row>
    <row r="7" spans="1:16" x14ac:dyDescent="0.25">
      <c r="A7" s="2" t="s">
        <v>5</v>
      </c>
      <c r="B7" s="196">
        <f>'2020 2P2C Bran'!C48</f>
        <v>14.19</v>
      </c>
      <c r="C7" s="13">
        <f>'2022 2P2C Bran'!C48</f>
        <v>15.66</v>
      </c>
      <c r="D7" s="13"/>
      <c r="E7" s="18">
        <f>C7-B7</f>
        <v>1.4700000000000006</v>
      </c>
      <c r="F7" s="79">
        <f>E7/B7</f>
        <v>0.10359408033826643</v>
      </c>
      <c r="G7" s="79"/>
      <c r="H7" s="196">
        <f>'2020 1P1C Bran'!B48</f>
        <v>14.44</v>
      </c>
      <c r="I7" s="13">
        <f>'2022 1P1C Bran'!B48</f>
        <v>14.18</v>
      </c>
      <c r="J7" s="18">
        <f>I7-H7</f>
        <v>-0.25999999999999979</v>
      </c>
      <c r="K7" s="79">
        <f>J7/H7</f>
        <v>-1.800554016620497E-2</v>
      </c>
      <c r="M7" s="214">
        <f>'2020 1P Bran'!B48</f>
        <v>13.21</v>
      </c>
      <c r="N7" s="213">
        <f>'2022 1P Bran'!B48</f>
        <v>15.07</v>
      </c>
      <c r="O7" s="215">
        <f t="shared" ref="O7:O9" si="0">N7-M7</f>
        <v>1.8599999999999994</v>
      </c>
      <c r="P7" s="76">
        <f t="shared" ref="P7:P9" si="1">O7/M7</f>
        <v>0.14080242240726717</v>
      </c>
    </row>
    <row r="8" spans="1:16" x14ac:dyDescent="0.25">
      <c r="B8" s="195"/>
      <c r="H8" s="195"/>
      <c r="M8" s="214"/>
      <c r="N8" s="213"/>
      <c r="O8" s="215"/>
      <c r="P8" s="76"/>
    </row>
    <row r="9" spans="1:16" x14ac:dyDescent="0.25">
      <c r="A9" s="2" t="s">
        <v>6</v>
      </c>
      <c r="B9" s="196">
        <f>'2020 2P2C Thom'!C48</f>
        <v>14.27</v>
      </c>
      <c r="C9" s="13">
        <f>'2022 2P2C Thom'!C48</f>
        <v>16.25</v>
      </c>
      <c r="D9" s="13"/>
      <c r="E9" s="18">
        <f>C9-B9</f>
        <v>1.9800000000000004</v>
      </c>
      <c r="F9" s="79">
        <f>E9/B9</f>
        <v>0.13875262789067977</v>
      </c>
      <c r="G9" s="79"/>
      <c r="H9" s="196">
        <f>'2020 1P1C Thom'!B48</f>
        <v>14.93</v>
      </c>
      <c r="I9" s="13">
        <f>'2022 1P1C Thom'!B48</f>
        <v>15.77</v>
      </c>
      <c r="J9" s="18">
        <f>I9-H9</f>
        <v>0.83999999999999986</v>
      </c>
      <c r="K9" s="79">
        <f>J9/H9</f>
        <v>5.6262558606831874E-2</v>
      </c>
      <c r="M9" s="214">
        <f>'2020 1P Thom'!B48</f>
        <v>18.86</v>
      </c>
      <c r="N9" s="213">
        <f>'2022 1P Thom'!B48</f>
        <v>20.010000000000002</v>
      </c>
      <c r="O9" s="215">
        <f t="shared" si="0"/>
        <v>1.1500000000000021</v>
      </c>
      <c r="P9" s="76">
        <f t="shared" si="1"/>
        <v>6.0975609756097678E-2</v>
      </c>
    </row>
    <row r="10" spans="1:1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/>
      <c r="B11" s="10"/>
      <c r="C11" s="10"/>
      <c r="D11" s="10"/>
      <c r="E11" s="10"/>
      <c r="H11" s="10"/>
      <c r="I11" s="10"/>
    </row>
    <row r="12" spans="1:16" x14ac:dyDescent="0.25">
      <c r="A12" s="195"/>
      <c r="B12" s="201"/>
    </row>
    <row r="13" spans="1:16" x14ac:dyDescent="0.25">
      <c r="A13" s="19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2" sqref="D22"/>
    </sheetView>
  </sheetViews>
  <sheetFormatPr defaultRowHeight="13.2" x14ac:dyDescent="0.25"/>
  <cols>
    <col min="1" max="1" width="22.21875" bestFit="1" customWidth="1"/>
    <col min="2" max="3" width="10.21875" bestFit="1" customWidth="1"/>
    <col min="4" max="4" width="10.21875" customWidth="1"/>
    <col min="5" max="5" width="9.5546875" bestFit="1" customWidth="1"/>
    <col min="6" max="6" width="9.5546875" customWidth="1"/>
    <col min="7" max="8" width="10.21875" bestFit="1" customWidth="1"/>
    <col min="9" max="14" width="10.5546875" customWidth="1"/>
    <col min="15" max="15" width="8.5546875" style="74"/>
    <col min="16" max="16" width="11.21875" customWidth="1"/>
    <col min="17" max="17" width="12" customWidth="1"/>
    <col min="18" max="18" width="10.44140625" customWidth="1"/>
    <col min="19" max="19" width="10.5546875" customWidth="1"/>
    <col min="20" max="21" width="11.44140625" customWidth="1"/>
    <col min="22" max="22" width="11.21875" customWidth="1"/>
    <col min="23" max="27" width="10.5546875" customWidth="1"/>
    <col min="28" max="28" width="8.5546875" style="74"/>
    <col min="29" max="29" width="11" customWidth="1"/>
    <col min="30" max="30" width="12" customWidth="1"/>
    <col min="31" max="32" width="10.5546875" customWidth="1"/>
    <col min="33" max="33" width="11.77734375" customWidth="1"/>
    <col min="34" max="34" width="10.5546875" bestFit="1" customWidth="1"/>
    <col min="35" max="35" width="10.77734375" customWidth="1"/>
    <col min="36" max="40" width="10.5546875" customWidth="1"/>
  </cols>
  <sheetData>
    <row r="1" spans="1:40" x14ac:dyDescent="0.25">
      <c r="A1" t="s">
        <v>7</v>
      </c>
    </row>
    <row r="2" spans="1:40" x14ac:dyDescent="0.25">
      <c r="E2" s="2" t="s">
        <v>8</v>
      </c>
      <c r="F2" s="2"/>
      <c r="P2" s="2"/>
      <c r="Q2" s="2"/>
      <c r="R2" s="2" t="s">
        <v>9</v>
      </c>
      <c r="T2" s="2"/>
      <c r="U2" s="2"/>
      <c r="V2" s="2"/>
      <c r="AC2" s="2"/>
      <c r="AD2" s="2"/>
      <c r="AE2" s="2" t="s">
        <v>10</v>
      </c>
      <c r="AG2" s="2"/>
      <c r="AH2" s="2"/>
      <c r="AI2" s="2"/>
    </row>
    <row r="3" spans="1:40" x14ac:dyDescent="0.25">
      <c r="B3" s="2" t="s">
        <v>0</v>
      </c>
      <c r="C3" s="2"/>
      <c r="D3" s="2"/>
      <c r="E3" s="2"/>
      <c r="F3" s="2"/>
      <c r="G3" s="2" t="s">
        <v>1</v>
      </c>
      <c r="H3" s="2"/>
      <c r="K3" s="2" t="s">
        <v>166</v>
      </c>
      <c r="L3" s="2"/>
      <c r="P3" s="2" t="s">
        <v>0</v>
      </c>
      <c r="Q3" s="2"/>
      <c r="R3" s="2"/>
      <c r="T3" s="2" t="s">
        <v>1</v>
      </c>
      <c r="U3" s="2"/>
      <c r="V3" s="2"/>
      <c r="X3" s="2" t="s">
        <v>166</v>
      </c>
      <c r="Y3" s="2"/>
      <c r="AC3" s="2" t="s">
        <v>0</v>
      </c>
      <c r="AD3" s="2"/>
      <c r="AE3" s="2"/>
      <c r="AG3" s="2" t="s">
        <v>1</v>
      </c>
      <c r="AH3" s="2"/>
      <c r="AI3" s="2"/>
      <c r="AK3" s="2" t="s">
        <v>166</v>
      </c>
      <c r="AL3" s="2"/>
    </row>
    <row r="4" spans="1:40" x14ac:dyDescent="0.25">
      <c r="B4" s="2">
        <v>2020</v>
      </c>
      <c r="C4" s="2">
        <v>2022</v>
      </c>
      <c r="D4" s="2"/>
      <c r="E4" s="194" t="s">
        <v>2</v>
      </c>
      <c r="F4" s="194" t="s">
        <v>3</v>
      </c>
      <c r="G4" s="2">
        <v>2020</v>
      </c>
      <c r="H4" s="2">
        <v>2022</v>
      </c>
      <c r="I4" s="19" t="s">
        <v>2</v>
      </c>
      <c r="J4" s="194" t="s">
        <v>3</v>
      </c>
      <c r="K4" s="2">
        <v>2020</v>
      </c>
      <c r="L4" s="2">
        <v>2022</v>
      </c>
      <c r="M4" s="19" t="s">
        <v>2</v>
      </c>
      <c r="N4" s="194" t="s">
        <v>3</v>
      </c>
      <c r="P4" s="2">
        <v>2020</v>
      </c>
      <c r="Q4" s="2">
        <v>2022</v>
      </c>
      <c r="R4" s="194" t="s">
        <v>2</v>
      </c>
      <c r="S4" s="194" t="s">
        <v>3</v>
      </c>
      <c r="T4" s="2">
        <v>2020</v>
      </c>
      <c r="U4" s="2">
        <v>2022</v>
      </c>
      <c r="V4" s="194" t="s">
        <v>2</v>
      </c>
      <c r="W4" s="194" t="s">
        <v>3</v>
      </c>
      <c r="X4" s="2">
        <v>2020</v>
      </c>
      <c r="Y4" s="2">
        <v>2022</v>
      </c>
      <c r="Z4" s="19" t="s">
        <v>2</v>
      </c>
      <c r="AA4" s="194" t="s">
        <v>3</v>
      </c>
      <c r="AC4" s="2">
        <v>2020</v>
      </c>
      <c r="AD4" s="2">
        <v>2022</v>
      </c>
      <c r="AE4" s="194" t="s">
        <v>2</v>
      </c>
      <c r="AF4" s="194" t="s">
        <v>3</v>
      </c>
      <c r="AG4" s="2">
        <v>2020</v>
      </c>
      <c r="AH4" s="2">
        <v>2022</v>
      </c>
      <c r="AI4" s="194" t="s">
        <v>2</v>
      </c>
      <c r="AJ4" s="194" t="s">
        <v>3</v>
      </c>
      <c r="AK4" s="2">
        <v>2020</v>
      </c>
      <c r="AL4" s="2">
        <v>2022</v>
      </c>
      <c r="AM4" s="19" t="s">
        <v>2</v>
      </c>
      <c r="AN4" s="194" t="s">
        <v>3</v>
      </c>
    </row>
    <row r="5" spans="1:40" x14ac:dyDescent="0.25">
      <c r="A5" s="2" t="s">
        <v>11</v>
      </c>
      <c r="B5" t="s">
        <v>12</v>
      </c>
      <c r="C5" t="s">
        <v>12</v>
      </c>
      <c r="D5" s="195" t="s">
        <v>50</v>
      </c>
      <c r="G5" t="s">
        <v>12</v>
      </c>
      <c r="H5" t="s">
        <v>12</v>
      </c>
      <c r="K5" t="s">
        <v>12</v>
      </c>
      <c r="L5" t="s">
        <v>12</v>
      </c>
      <c r="P5" t="s">
        <v>12</v>
      </c>
      <c r="Q5" t="s">
        <v>12</v>
      </c>
      <c r="T5" t="s">
        <v>12</v>
      </c>
      <c r="U5" t="s">
        <v>12</v>
      </c>
      <c r="X5" t="s">
        <v>12</v>
      </c>
      <c r="Y5" t="s">
        <v>12</v>
      </c>
      <c r="AC5" t="s">
        <v>12</v>
      </c>
      <c r="AD5" t="s">
        <v>12</v>
      </c>
      <c r="AG5" t="s">
        <v>12</v>
      </c>
      <c r="AH5" t="s">
        <v>12</v>
      </c>
      <c r="AK5" t="s">
        <v>12</v>
      </c>
      <c r="AL5" t="s">
        <v>12</v>
      </c>
    </row>
    <row r="6" spans="1:40" x14ac:dyDescent="0.25">
      <c r="A6" t="s">
        <v>13</v>
      </c>
    </row>
    <row r="7" spans="1:40" x14ac:dyDescent="0.25">
      <c r="A7" t="s">
        <v>14</v>
      </c>
      <c r="B7" s="10">
        <f>'2020 2P2C WPG'!C9</f>
        <v>10678.873101529902</v>
      </c>
      <c r="C7" s="10">
        <f>'2022 2P2C WPG'!C9</f>
        <v>11160.240095427434</v>
      </c>
      <c r="D7" s="10">
        <f>C7/12</f>
        <v>930.02000795228616</v>
      </c>
      <c r="E7" s="17">
        <f>C7-B7</f>
        <v>481.36699389753267</v>
      </c>
      <c r="F7" s="76">
        <f>E7/B7</f>
        <v>4.507657215521832E-2</v>
      </c>
      <c r="G7" s="10">
        <f>'2020 1P1C WPG'!C9</f>
        <v>5606.4083783031974</v>
      </c>
      <c r="H7" s="10">
        <f>'2022 1P1C WPG'!C9</f>
        <v>5859.1260500994031</v>
      </c>
      <c r="I7" s="18">
        <f>H7-G7</f>
        <v>252.71767179620565</v>
      </c>
      <c r="J7" s="76">
        <f>I7/G7</f>
        <v>4.5076572155218507E-2</v>
      </c>
      <c r="K7" s="10">
        <f>'2020 1P WPG'!$C9</f>
        <v>3512.7872044506248</v>
      </c>
      <c r="L7" s="10">
        <f>'2022 1P WPG'!$C9</f>
        <v>3671.1316103379718</v>
      </c>
      <c r="M7" s="18">
        <f>L7-K7</f>
        <v>158.34440588734697</v>
      </c>
      <c r="N7" s="76">
        <f>M7/K7</f>
        <v>4.5076572155218528E-2</v>
      </c>
      <c r="P7" s="10">
        <f>'2020 2P2C Bran'!C9</f>
        <v>10309.050125173851</v>
      </c>
      <c r="Q7" s="10">
        <f>'2022 2P2C Bran'!C9</f>
        <v>10774.059769383697</v>
      </c>
      <c r="R7" s="17">
        <f>Q7-P7</f>
        <v>465.00964420984565</v>
      </c>
      <c r="S7" s="76">
        <f>R7/P7</f>
        <v>4.5106934059262201E-2</v>
      </c>
      <c r="T7" s="10">
        <f>'2020 1P1C Bran'!C9</f>
        <v>5412.2513157162712</v>
      </c>
      <c r="U7" s="10">
        <f>'2022 1P1C Bran'!C9</f>
        <v>5656.3813789264414</v>
      </c>
      <c r="V7" s="18">
        <f>U7-T7</f>
        <v>244.13006321017019</v>
      </c>
      <c r="W7" s="76">
        <f>V7/T7</f>
        <v>4.5106934059262437E-2</v>
      </c>
      <c r="X7" s="10">
        <f>'2020 1P Bran'!$C9</f>
        <v>3391.1349095966611</v>
      </c>
      <c r="Y7" s="10">
        <f>'2022 1P Bran'!$C9</f>
        <v>3544.0986083499001</v>
      </c>
      <c r="Z7" s="18">
        <f>Y7-X7</f>
        <v>152.96369875323899</v>
      </c>
      <c r="AA7" s="76">
        <f>Z7/X7</f>
        <v>4.5106934059262291E-2</v>
      </c>
      <c r="AC7" s="10">
        <f>'2020 2P2C Thom'!C9</f>
        <v>10309.050125173851</v>
      </c>
      <c r="AD7" s="10">
        <f>'2022 2P2C Thom'!C9</f>
        <v>10774.059769383697</v>
      </c>
      <c r="AE7" s="17">
        <f>AD7-AC7</f>
        <v>465.00964420984565</v>
      </c>
      <c r="AF7" s="76">
        <f>AE7/AC7</f>
        <v>4.5106934059262201E-2</v>
      </c>
      <c r="AG7" s="10">
        <f>'2020 1P1C Thom'!C9</f>
        <v>5412.2513157162712</v>
      </c>
      <c r="AH7" s="10">
        <f>'2022 1P1C Thom'!C9</f>
        <v>5656.3813789264414</v>
      </c>
      <c r="AI7" s="18">
        <f>AH7-AG7</f>
        <v>244.13006321017019</v>
      </c>
      <c r="AJ7" s="76">
        <f>AI7/AG7</f>
        <v>4.5106934059262437E-2</v>
      </c>
      <c r="AK7" s="10">
        <f>'2020 1P Thom'!$C9</f>
        <v>3391.1349095966611</v>
      </c>
      <c r="AL7" s="10">
        <f>'2022 1P Thom'!$C9</f>
        <v>3544.0986083499001</v>
      </c>
      <c r="AM7" s="18">
        <f>AL7-AK7</f>
        <v>152.96369875323899</v>
      </c>
      <c r="AN7" s="76">
        <f>AM7/AK7</f>
        <v>4.5106934059262291E-2</v>
      </c>
    </row>
    <row r="8" spans="1:40" x14ac:dyDescent="0.25">
      <c r="A8" t="s">
        <v>15</v>
      </c>
      <c r="B8" s="10">
        <f>'2020 2P2C WPG'!C10</f>
        <v>2083.4951871657759</v>
      </c>
      <c r="C8" s="10">
        <f>'2022 2P2C WPG'!C10</f>
        <v>2046.3679144385028</v>
      </c>
      <c r="D8" s="10">
        <f t="shared" ref="D8:D18" si="0">C8/12</f>
        <v>170.53065953654189</v>
      </c>
      <c r="E8" s="18">
        <f t="shared" ref="E8:E18" si="1">C8-B8</f>
        <v>-37.127272727273066</v>
      </c>
      <c r="F8" s="76">
        <f t="shared" ref="F8:F18" si="2">E8/B8</f>
        <v>-1.781970649895194E-2</v>
      </c>
      <c r="G8" s="10">
        <f>'2020 1P1C WPG'!C10</f>
        <v>1473.2535754144553</v>
      </c>
      <c r="H8" s="10">
        <f>'2022 1P1C WPG'!C10</f>
        <v>1447.0006291020381</v>
      </c>
      <c r="I8" s="18">
        <f t="shared" ref="I8:I18" si="3">H8-G8</f>
        <v>-26.25294631241718</v>
      </c>
      <c r="J8" s="76">
        <f t="shared" ref="J8:J18" si="4">I8/G8</f>
        <v>-1.7819706498951961E-2</v>
      </c>
      <c r="K8" s="10">
        <f>'2020 1P WPG'!$C10</f>
        <v>1041.7475935828879</v>
      </c>
      <c r="L8" s="10">
        <f>'2022 1P WPG'!$C10</f>
        <v>1023.1839572192514</v>
      </c>
      <c r="M8" s="18">
        <f t="shared" ref="M8:M18" si="5">L8-K8</f>
        <v>-18.563636363636533</v>
      </c>
      <c r="N8" s="76">
        <f t="shared" ref="N8:N18" si="6">M8/K8</f>
        <v>-1.781970649895194E-2</v>
      </c>
      <c r="P8" s="10">
        <f>'2020 2P2C Bran'!C10</f>
        <v>2083.4951871657759</v>
      </c>
      <c r="Q8" s="10">
        <f>'2022 2P2C Bran'!C10</f>
        <v>2046.3679144385028</v>
      </c>
      <c r="R8" s="18">
        <f t="shared" ref="R8:R18" si="7">Q8-P8</f>
        <v>-37.127272727273066</v>
      </c>
      <c r="S8" s="76">
        <f t="shared" ref="S8:S18" si="8">R8/P8</f>
        <v>-1.781970649895194E-2</v>
      </c>
      <c r="T8" s="10">
        <f>'2020 1P1C Bran'!C10</f>
        <v>1473.2535754144553</v>
      </c>
      <c r="U8" s="10">
        <f>'2022 1P1C Bran'!C10</f>
        <v>1447.0006291020381</v>
      </c>
      <c r="V8" s="18">
        <f t="shared" ref="V8:V18" si="9">U8-T8</f>
        <v>-26.25294631241718</v>
      </c>
      <c r="W8" s="76">
        <f t="shared" ref="W8:W18" si="10">V8/T8</f>
        <v>-1.7819706498951961E-2</v>
      </c>
      <c r="X8" s="10">
        <f>'2020 1P Bran'!$C10</f>
        <v>1041.7475935828879</v>
      </c>
      <c r="Y8" s="10">
        <f>'2022 1P Bran'!$C10</f>
        <v>1023.1839572192514</v>
      </c>
      <c r="Z8" s="18">
        <f t="shared" ref="Z8:Z18" si="11">Y8-X8</f>
        <v>-18.563636363636533</v>
      </c>
      <c r="AA8" s="76">
        <f t="shared" ref="AA8:AA12" si="12">Z8/X8</f>
        <v>-1.781970649895194E-2</v>
      </c>
      <c r="AC8" s="10">
        <f>'2020 2P2C Thom'!C10</f>
        <v>2850.2214160427816</v>
      </c>
      <c r="AD8" s="10">
        <f>'2022 2P2C Thom'!C10</f>
        <v>2799.4313069518721</v>
      </c>
      <c r="AE8" s="18">
        <f t="shared" ref="AE8:AE18" si="13">AD8-AC8</f>
        <v>-50.790109090909482</v>
      </c>
      <c r="AF8" s="76">
        <f t="shared" ref="AF8:AF18" si="14">AE8/AC8</f>
        <v>-1.7819706498951916E-2</v>
      </c>
      <c r="AG8" s="10">
        <f>'2020 1P1C Thom'!C10</f>
        <v>2015.410891166975</v>
      </c>
      <c r="AH8" s="10">
        <f>'2022 1P1C Thom'!C10</f>
        <v>1979.4968606115883</v>
      </c>
      <c r="AI8" s="18">
        <f t="shared" ref="AI8:AI18" si="15">AH8-AG8</f>
        <v>-35.914030555386717</v>
      </c>
      <c r="AJ8" s="76">
        <f t="shared" ref="AJ8:AJ18" si="16">AI8/AG8</f>
        <v>-1.7819706498951964E-2</v>
      </c>
      <c r="AK8" s="10">
        <f>'2020 1P Thom'!$C10</f>
        <v>1425.1107080213908</v>
      </c>
      <c r="AL8" s="10">
        <f>'2022 1P Thom'!$C10</f>
        <v>1399.7156534759361</v>
      </c>
      <c r="AM8" s="18">
        <f t="shared" ref="AM8:AM18" si="17">AL8-AK8</f>
        <v>-25.395054545454741</v>
      </c>
      <c r="AN8" s="76">
        <f t="shared" ref="AN8:AN12" si="18">AM8/AK8</f>
        <v>-1.7819706498951916E-2</v>
      </c>
    </row>
    <row r="9" spans="1:40" x14ac:dyDescent="0.25">
      <c r="A9" t="s">
        <v>16</v>
      </c>
      <c r="B9" s="10">
        <f>'2020 2P2C WPG'!C11</f>
        <v>18933.561462346759</v>
      </c>
      <c r="C9" s="10">
        <f>'2022 2P2C WPG'!C11</f>
        <v>20797.712276707531</v>
      </c>
      <c r="D9" s="10">
        <f t="shared" si="0"/>
        <v>1733.1426897256276</v>
      </c>
      <c r="E9" s="211">
        <f t="shared" si="1"/>
        <v>1864.1508143607716</v>
      </c>
      <c r="F9" s="76">
        <f t="shared" si="2"/>
        <v>9.8457483451701092E-2</v>
      </c>
      <c r="G9" s="10">
        <f>'2020 1P1C WPG'!C11</f>
        <v>15333.561462346759</v>
      </c>
      <c r="H9" s="10">
        <f>'2022 1P1C WPG'!C11</f>
        <v>16525.712276707531</v>
      </c>
      <c r="I9" s="211">
        <f t="shared" si="3"/>
        <v>1192.1508143607716</v>
      </c>
      <c r="J9" s="76">
        <f t="shared" si="4"/>
        <v>7.7747809423676859E-2</v>
      </c>
      <c r="K9" s="10">
        <f>'2020 1P WPG'!$C11</f>
        <v>12357.561462346759</v>
      </c>
      <c r="L9" s="10">
        <f>'2022 1P WPG'!$C11</f>
        <v>12997.712276707531</v>
      </c>
      <c r="M9" s="18">
        <f t="shared" si="5"/>
        <v>640.15081436077162</v>
      </c>
      <c r="N9" s="76">
        <f t="shared" si="6"/>
        <v>5.1802357310647272E-2</v>
      </c>
      <c r="P9" s="10">
        <f>'2020 2P2C Bran'!C11</f>
        <v>16593.561462346759</v>
      </c>
      <c r="Q9" s="10">
        <f>'2022 2P2C Bran'!C11</f>
        <v>17077.712276707531</v>
      </c>
      <c r="R9" s="18">
        <f t="shared" si="7"/>
        <v>484.15081436077162</v>
      </c>
      <c r="S9" s="76">
        <f t="shared" si="8"/>
        <v>2.9177028419087807E-2</v>
      </c>
      <c r="T9" s="10">
        <f>'2020 1P1C Bran'!C11</f>
        <v>11793.561462346759</v>
      </c>
      <c r="U9" s="10">
        <f>'2022 1P1C Bran'!C11</f>
        <v>12397.712276707531</v>
      </c>
      <c r="V9" s="18">
        <f t="shared" si="9"/>
        <v>604.15081436077162</v>
      </c>
      <c r="W9" s="76">
        <f t="shared" si="10"/>
        <v>5.1227173088438188E-2</v>
      </c>
      <c r="X9" s="10">
        <f>'2020 1P Bran'!$C11</f>
        <v>8973.5614623467591</v>
      </c>
      <c r="Y9" s="10">
        <f>'2022 1P Bran'!$C11</f>
        <v>9589.7122767075307</v>
      </c>
      <c r="Z9" s="18">
        <f t="shared" si="11"/>
        <v>616.15081436077162</v>
      </c>
      <c r="AA9" s="76">
        <f t="shared" si="12"/>
        <v>6.8662906800845191E-2</v>
      </c>
      <c r="AC9" s="10">
        <f>'2020 2P2C Thom'!C11</f>
        <v>14061.561462346759</v>
      </c>
      <c r="AD9" s="10">
        <f>'2022 2P2C Thom'!C11</f>
        <v>14797.712276707531</v>
      </c>
      <c r="AE9" s="18">
        <f t="shared" si="13"/>
        <v>736.15081436077162</v>
      </c>
      <c r="AF9" s="76">
        <f t="shared" si="14"/>
        <v>5.2351996350618241E-2</v>
      </c>
      <c r="AG9" s="10">
        <f>'2020 1P1C Thom'!C11</f>
        <v>12825.561462346759</v>
      </c>
      <c r="AH9" s="10">
        <f>'2022 1P1C Thom'!C11</f>
        <v>12937.712276707531</v>
      </c>
      <c r="AI9" s="18">
        <f t="shared" si="15"/>
        <v>112.15081436077162</v>
      </c>
      <c r="AJ9" s="76">
        <f t="shared" si="16"/>
        <v>8.7443200588156397E-3</v>
      </c>
      <c r="AK9" s="10">
        <f>'2020 1P Thom'!$C11</f>
        <v>11913.561462346759</v>
      </c>
      <c r="AL9" s="10">
        <f>'2022 1P Thom'!$C11</f>
        <v>12397.712276707531</v>
      </c>
      <c r="AM9" s="18">
        <f t="shared" si="17"/>
        <v>484.15081436077162</v>
      </c>
      <c r="AN9" s="76">
        <f t="shared" si="18"/>
        <v>4.0638629841374278E-2</v>
      </c>
    </row>
    <row r="10" spans="1:40" x14ac:dyDescent="0.25">
      <c r="A10" t="s">
        <v>17</v>
      </c>
      <c r="B10" s="10">
        <f>'2020 2P2C WPG'!C12</f>
        <v>6083.6428837787444</v>
      </c>
      <c r="C10" s="10">
        <f>'2022 2P2C WPG'!C12</f>
        <v>6582.7266754270704</v>
      </c>
      <c r="D10" s="10">
        <f t="shared" si="0"/>
        <v>548.5605562855892</v>
      </c>
      <c r="E10" s="18">
        <f t="shared" si="1"/>
        <v>499.08379164832604</v>
      </c>
      <c r="F10" s="76">
        <f t="shared" si="2"/>
        <v>8.203699677689319E-2</v>
      </c>
      <c r="G10" s="10">
        <f>'2020 1P1C WPG'!C12</f>
        <v>4859.042883778744</v>
      </c>
      <c r="H10" s="10">
        <f>'2022 1P1C WPG'!C12</f>
        <v>5310.7266754270704</v>
      </c>
      <c r="I10" s="18">
        <f t="shared" si="3"/>
        <v>451.68379164832641</v>
      </c>
      <c r="J10" s="76">
        <f t="shared" si="4"/>
        <v>9.2957358568744375E-2</v>
      </c>
      <c r="K10" s="10">
        <f>'2020 1P WPG'!$C12</f>
        <v>1224.5999999999999</v>
      </c>
      <c r="L10" s="10">
        <f>'2022 1P WPG'!$C12</f>
        <v>1272</v>
      </c>
      <c r="M10" s="18">
        <f t="shared" si="5"/>
        <v>47.400000000000091</v>
      </c>
      <c r="N10" s="76">
        <f t="shared" si="6"/>
        <v>3.8706516413522858E-2</v>
      </c>
      <c r="P10" s="10">
        <f>'2020 2P2C Bran'!C12</f>
        <v>5873.042883778744</v>
      </c>
      <c r="Q10" s="10">
        <f>'2022 2P2C Bran'!C12</f>
        <v>6534.7266754270704</v>
      </c>
      <c r="R10" s="18">
        <f t="shared" si="7"/>
        <v>661.68379164832641</v>
      </c>
      <c r="S10" s="76">
        <f t="shared" si="8"/>
        <v>0.11266455987847238</v>
      </c>
      <c r="T10" s="10">
        <f>'2020 1P1C Bran'!C12</f>
        <v>4859.042883778744</v>
      </c>
      <c r="U10" s="10">
        <f>'2022 1P1C Bran'!C12</f>
        <v>5310.7266754270704</v>
      </c>
      <c r="V10" s="18">
        <f t="shared" si="9"/>
        <v>451.68379164832641</v>
      </c>
      <c r="W10" s="76">
        <f t="shared" si="10"/>
        <v>9.2957358568744375E-2</v>
      </c>
      <c r="X10" s="10">
        <f>'2020 1P Bran'!$C12</f>
        <v>1224</v>
      </c>
      <c r="Y10" s="10">
        <f>'2022 1P Bran'!$C12</f>
        <v>1224</v>
      </c>
      <c r="Z10" s="18">
        <f t="shared" si="11"/>
        <v>0</v>
      </c>
      <c r="AA10" s="76">
        <f t="shared" si="12"/>
        <v>0</v>
      </c>
      <c r="AC10" s="10">
        <f>'2020 2P2C Thom'!C12</f>
        <v>5771.042883778744</v>
      </c>
      <c r="AD10" s="10">
        <f>'2022 2P2C Thom'!C12</f>
        <v>6222.7266754270704</v>
      </c>
      <c r="AE10" s="18">
        <f t="shared" si="13"/>
        <v>451.68379164832641</v>
      </c>
      <c r="AF10" s="76">
        <f t="shared" si="14"/>
        <v>7.8267273479793384E-2</v>
      </c>
      <c r="AG10" s="10">
        <f>'2020 1P1C Thom'!C12</f>
        <v>4859.042883778744</v>
      </c>
      <c r="AH10" s="10">
        <f>'2022 1P1C Thom'!C12</f>
        <v>5310.7266754270704</v>
      </c>
      <c r="AI10" s="18">
        <f t="shared" si="15"/>
        <v>451.68379164832641</v>
      </c>
      <c r="AJ10" s="76">
        <f t="shared" si="16"/>
        <v>9.2957358568744375E-2</v>
      </c>
      <c r="AK10" s="10">
        <f>'2020 1P Thom'!$C12</f>
        <v>912</v>
      </c>
      <c r="AL10" s="10">
        <f>'2022 1P Thom'!$C12</f>
        <v>912</v>
      </c>
      <c r="AM10" s="18">
        <f t="shared" si="17"/>
        <v>0</v>
      </c>
      <c r="AN10" s="76">
        <f t="shared" si="18"/>
        <v>0</v>
      </c>
    </row>
    <row r="11" spans="1:40" x14ac:dyDescent="0.25">
      <c r="A11" t="s">
        <v>18</v>
      </c>
      <c r="B11" s="10">
        <f>'2020 2P2C WPG'!C13</f>
        <v>9622.8256896765415</v>
      </c>
      <c r="C11" s="10">
        <f>'2022 2P2C WPG'!C13</f>
        <v>11786.516363636363</v>
      </c>
      <c r="D11" s="10">
        <f t="shared" si="0"/>
        <v>982.20969696969689</v>
      </c>
      <c r="E11" s="211">
        <f t="shared" si="1"/>
        <v>2163.6906739598217</v>
      </c>
      <c r="F11" s="76">
        <f t="shared" si="2"/>
        <v>0.22484982516944577</v>
      </c>
      <c r="G11" s="10">
        <f>'2020 1P1C WPG'!C13</f>
        <v>5338.06511310311</v>
      </c>
      <c r="H11" s="10">
        <f>'2022 1P1C WPG'!C13</f>
        <v>8334.3256472934809</v>
      </c>
      <c r="I11" s="211">
        <f t="shared" si="3"/>
        <v>2996.2605341903709</v>
      </c>
      <c r="J11" s="76">
        <f t="shared" si="4"/>
        <v>0.56130085915130257</v>
      </c>
      <c r="K11" s="10">
        <f>'2020 1P WPG'!$C13</f>
        <v>3434.1192377172688</v>
      </c>
      <c r="L11" s="10">
        <f>'2022 1P WPG'!$C13</f>
        <v>5893.2581818181816</v>
      </c>
      <c r="M11" s="18">
        <f t="shared" si="5"/>
        <v>2459.1389441009128</v>
      </c>
      <c r="N11" s="76">
        <f t="shared" si="6"/>
        <v>0.71609014535428717</v>
      </c>
      <c r="P11" s="10">
        <f>'2020 2P2C Bran'!C13</f>
        <v>9343.979165504079</v>
      </c>
      <c r="Q11" s="10">
        <f>'2022 2P2C Bran'!C13</f>
        <v>11471.534545454546</v>
      </c>
      <c r="R11" s="211">
        <f t="shared" si="7"/>
        <v>2127.5553799504669</v>
      </c>
      <c r="S11" s="76">
        <f t="shared" si="8"/>
        <v>0.22769265023673582</v>
      </c>
      <c r="T11" s="10">
        <f>'2020 1P1C Bran'!C13</f>
        <v>5191.6706879125677</v>
      </c>
      <c r="U11" s="10">
        <f>'2022 1P1C Bran'!C13</f>
        <v>8111.5998677066491</v>
      </c>
      <c r="V11" s="211">
        <f t="shared" si="9"/>
        <v>2919.9291797940814</v>
      </c>
      <c r="W11" s="76">
        <f t="shared" si="10"/>
        <v>0.56242573062123613</v>
      </c>
      <c r="X11" s="10">
        <f>'2020 1P Bran'!$C13</f>
        <v>3342.3934073973805</v>
      </c>
      <c r="Y11" s="10">
        <f>'2022 1P Bran'!$C13</f>
        <v>5735.7672727272729</v>
      </c>
      <c r="Z11" s="18">
        <f t="shared" si="11"/>
        <v>2393.3738653298924</v>
      </c>
      <c r="AA11" s="76">
        <f t="shared" si="12"/>
        <v>0.71606587663585042</v>
      </c>
      <c r="AC11" s="10">
        <f>'2020 2P2C Thom'!C13</f>
        <v>13164.02554347751</v>
      </c>
      <c r="AD11" s="10">
        <f>'2022 2P2C Thom'!C13</f>
        <v>16123.954385454546</v>
      </c>
      <c r="AE11" s="211">
        <f t="shared" si="13"/>
        <v>2959.9288419770364</v>
      </c>
      <c r="AF11" s="76">
        <f t="shared" si="14"/>
        <v>0.22484982516944577</v>
      </c>
      <c r="AG11" s="10">
        <f>'2020 1P1C Thom'!C13</f>
        <v>7302.4730747250551</v>
      </c>
      <c r="AH11" s="10">
        <f>'2022 1P1C Thom'!C13</f>
        <v>11401.357485497483</v>
      </c>
      <c r="AI11" s="211">
        <f t="shared" si="15"/>
        <v>4098.8844107724281</v>
      </c>
      <c r="AJ11" s="76">
        <f t="shared" si="16"/>
        <v>0.56130085915130268</v>
      </c>
      <c r="AK11" s="10">
        <f>'2020 1P Thom'!$C13</f>
        <v>7113.435840000001</v>
      </c>
      <c r="AL11" s="10">
        <f>'2022 1P Thom'!$C13</f>
        <v>8061.9771927272732</v>
      </c>
      <c r="AM11" s="18">
        <f t="shared" si="17"/>
        <v>948.54135272727217</v>
      </c>
      <c r="AN11" s="76">
        <f t="shared" si="18"/>
        <v>0.13334503523507876</v>
      </c>
    </row>
    <row r="12" spans="1:40" x14ac:dyDescent="0.25">
      <c r="A12" s="3" t="s">
        <v>19</v>
      </c>
      <c r="B12" s="10">
        <f>'2020 2P2C WPG'!C14</f>
        <v>47402.398324497728</v>
      </c>
      <c r="C12" s="10">
        <f>'2022 2P2C WPG'!C14</f>
        <v>52373.563325636896</v>
      </c>
      <c r="D12" s="10">
        <f t="shared" si="0"/>
        <v>4364.4636104697411</v>
      </c>
      <c r="E12" s="18">
        <f t="shared" si="1"/>
        <v>4971.1650011391685</v>
      </c>
      <c r="F12" s="76">
        <f t="shared" si="2"/>
        <v>0.10487159251117581</v>
      </c>
      <c r="G12" s="10">
        <f>'2020 1P1C WPG'!C14</f>
        <v>32610.331412946267</v>
      </c>
      <c r="H12" s="10">
        <f>'2022 1P1C WPG'!C14</f>
        <v>37476.891278629526</v>
      </c>
      <c r="I12" s="18">
        <f t="shared" si="3"/>
        <v>4866.559865683259</v>
      </c>
      <c r="J12" s="76">
        <f t="shared" si="4"/>
        <v>0.14923368315573879</v>
      </c>
      <c r="K12" s="10">
        <f>'2020 1P WPG'!$C14</f>
        <v>21570.815498097541</v>
      </c>
      <c r="L12" s="10">
        <f>'2022 1P WPG'!$C14</f>
        <v>24857.286026082937</v>
      </c>
      <c r="M12" s="18">
        <f t="shared" si="5"/>
        <v>3286.4705279853952</v>
      </c>
      <c r="N12" s="76">
        <f t="shared" si="6"/>
        <v>0.15235726847115486</v>
      </c>
      <c r="P12" s="10">
        <f>'2020 2P2C Bran'!C14</f>
        <v>44203.128823969208</v>
      </c>
      <c r="Q12" s="10">
        <f>'2022 2P2C Bran'!C14</f>
        <v>47904.401181411347</v>
      </c>
      <c r="R12" s="18">
        <f t="shared" si="7"/>
        <v>3701.2723574421398</v>
      </c>
      <c r="S12" s="76">
        <f t="shared" si="8"/>
        <v>8.3733266307499929E-2</v>
      </c>
      <c r="T12" s="10">
        <f>'2020 1P1C Bran'!C14</f>
        <v>28729.779925168797</v>
      </c>
      <c r="U12" s="10">
        <f>'2022 1P1C Bran'!C14</f>
        <v>32923.420827869733</v>
      </c>
      <c r="V12" s="18">
        <f t="shared" si="9"/>
        <v>4193.6409027009358</v>
      </c>
      <c r="W12" s="76">
        <f t="shared" si="10"/>
        <v>0.14596843114092517</v>
      </c>
      <c r="X12" s="10">
        <f>'2020 1P Bran'!$C14</f>
        <v>17972.837372923688</v>
      </c>
      <c r="Y12" s="10">
        <f>'2022 1P Bran'!$C14</f>
        <v>21116.762115003956</v>
      </c>
      <c r="Z12" s="18">
        <f t="shared" si="11"/>
        <v>3143.9247420802676</v>
      </c>
      <c r="AA12" s="76">
        <f t="shared" si="12"/>
        <v>0.17492645578692159</v>
      </c>
      <c r="AC12" s="10">
        <f>'2020 2P2C Thom'!C14</f>
        <v>46155.901430819642</v>
      </c>
      <c r="AD12" s="10">
        <f>'2022 2P2C Thom'!C14</f>
        <v>50717.884413924716</v>
      </c>
      <c r="AE12" s="18">
        <f t="shared" si="13"/>
        <v>4561.9829831050738</v>
      </c>
      <c r="AF12" s="76">
        <f t="shared" si="14"/>
        <v>9.8838563253775061E-2</v>
      </c>
      <c r="AG12" s="10">
        <f>'2020 1P1C Thom'!C14</f>
        <v>32414.739627733805</v>
      </c>
      <c r="AH12" s="10">
        <f>'2022 1P1C Thom'!C14</f>
        <v>37285.674677170115</v>
      </c>
      <c r="AI12" s="18">
        <f t="shared" si="15"/>
        <v>4870.9350494363098</v>
      </c>
      <c r="AJ12" s="76">
        <f t="shared" si="16"/>
        <v>0.15026914006950021</v>
      </c>
      <c r="AK12" s="10">
        <f>'2020 1P Thom'!$C14</f>
        <v>24755.242919964814</v>
      </c>
      <c r="AL12" s="10">
        <f>'2022 1P Thom'!$C14</f>
        <v>26315.50373126064</v>
      </c>
      <c r="AM12" s="18">
        <f t="shared" si="17"/>
        <v>1560.260811295826</v>
      </c>
      <c r="AN12" s="76">
        <f t="shared" si="18"/>
        <v>6.3027489422755531E-2</v>
      </c>
    </row>
    <row r="13" spans="1:40" x14ac:dyDescent="0.25">
      <c r="A13" t="s">
        <v>20</v>
      </c>
      <c r="B13" s="10">
        <f>'2020 2P2C WPG'!C15</f>
        <v>7590</v>
      </c>
      <c r="C13" s="10">
        <f>'2022 2P2C WPG'!C15</f>
        <v>7618</v>
      </c>
      <c r="D13" s="10">
        <f t="shared" si="0"/>
        <v>634.83333333333337</v>
      </c>
      <c r="E13" s="18">
        <f t="shared" si="1"/>
        <v>28</v>
      </c>
      <c r="F13" s="76">
        <f t="shared" si="2"/>
        <v>3.6890645586297758E-3</v>
      </c>
      <c r="G13" s="10">
        <f>'2020 1P1C WPG'!C15</f>
        <v>6114.55</v>
      </c>
      <c r="H13" s="10">
        <f>'2022 1P1C WPG'!C15</f>
        <v>6141.85</v>
      </c>
      <c r="I13" s="18">
        <f t="shared" si="3"/>
        <v>27.300000000000182</v>
      </c>
      <c r="J13" s="76">
        <f t="shared" si="4"/>
        <v>4.4647602848942574E-3</v>
      </c>
      <c r="K13" s="10">
        <f>'2020 1P WPG'!$C15</f>
        <v>0</v>
      </c>
      <c r="L13" s="10">
        <f>'2022 1P WPG'!$C15</f>
        <v>0</v>
      </c>
      <c r="M13" s="18">
        <f t="shared" si="5"/>
        <v>0</v>
      </c>
      <c r="N13" s="76"/>
      <c r="P13" s="10">
        <f>'2020 2P2C Bran'!C15</f>
        <v>7590</v>
      </c>
      <c r="Q13" s="10">
        <f>'2022 2P2C Bran'!C15</f>
        <v>7618</v>
      </c>
      <c r="R13" s="18">
        <f t="shared" si="7"/>
        <v>28</v>
      </c>
      <c r="S13" s="76">
        <f t="shared" si="8"/>
        <v>3.6890645586297758E-3</v>
      </c>
      <c r="T13" s="10">
        <f>'2020 1P1C Bran'!C15</f>
        <v>6114.55</v>
      </c>
      <c r="U13" s="10">
        <f>'2022 1P1C Bran'!C15</f>
        <v>6141.85</v>
      </c>
      <c r="V13" s="18">
        <f t="shared" si="9"/>
        <v>27.300000000000182</v>
      </c>
      <c r="W13" s="76">
        <f t="shared" si="10"/>
        <v>4.4647602848942574E-3</v>
      </c>
      <c r="X13" s="10">
        <f>'2020 1P Bran'!$C15</f>
        <v>0</v>
      </c>
      <c r="Y13" s="10">
        <f>'2022 1P Bran'!$C15</f>
        <v>0</v>
      </c>
      <c r="Z13" s="18">
        <f t="shared" si="11"/>
        <v>0</v>
      </c>
      <c r="AA13" s="76"/>
      <c r="AC13" s="10">
        <f>'2020 2P2C Thom'!C15</f>
        <v>7590</v>
      </c>
      <c r="AD13" s="10">
        <f>'2022 2P2C Thom'!C15</f>
        <v>7618</v>
      </c>
      <c r="AE13" s="18">
        <f t="shared" si="13"/>
        <v>28</v>
      </c>
      <c r="AF13" s="76">
        <f t="shared" si="14"/>
        <v>3.6890645586297758E-3</v>
      </c>
      <c r="AG13" s="10">
        <f>'2020 1P1C Thom'!C15</f>
        <v>6114.55</v>
      </c>
      <c r="AH13" s="10">
        <f>'2022 1P1C Thom'!C15</f>
        <v>6141.85</v>
      </c>
      <c r="AI13" s="18">
        <f t="shared" si="15"/>
        <v>27.300000000000182</v>
      </c>
      <c r="AJ13" s="76">
        <f t="shared" si="16"/>
        <v>4.4647602848942574E-3</v>
      </c>
      <c r="AK13" s="10">
        <f>'2020 1P Thom'!$C15</f>
        <v>0</v>
      </c>
      <c r="AL13" s="10">
        <f>'2022 1P Thom'!$C15</f>
        <v>0</v>
      </c>
      <c r="AM13" s="18">
        <f t="shared" si="17"/>
        <v>0</v>
      </c>
      <c r="AN13" s="76"/>
    </row>
    <row r="14" spans="1:40" x14ac:dyDescent="0.25">
      <c r="A14" t="s">
        <v>21</v>
      </c>
      <c r="B14" s="10">
        <f>'2020 2P2C WPG'!C16</f>
        <v>0</v>
      </c>
      <c r="C14" s="10">
        <f>'2022 2P2C WPG'!C16</f>
        <v>0</v>
      </c>
      <c r="D14" s="10">
        <f t="shared" si="0"/>
        <v>0</v>
      </c>
      <c r="E14" s="18">
        <f t="shared" si="1"/>
        <v>0</v>
      </c>
      <c r="F14" s="76"/>
      <c r="G14" s="10">
        <f>'2020 1P1C WPG'!C16</f>
        <v>0</v>
      </c>
      <c r="H14" s="10">
        <f>'2022 1P1C WPG'!C16</f>
        <v>0</v>
      </c>
      <c r="I14" s="18">
        <f t="shared" si="3"/>
        <v>0</v>
      </c>
      <c r="J14" s="76"/>
      <c r="K14" s="10">
        <f>'2020 1P WPG'!$C16</f>
        <v>0</v>
      </c>
      <c r="L14" s="10">
        <f>'2022 1P WPG'!$C16</f>
        <v>0</v>
      </c>
      <c r="M14" s="18">
        <f t="shared" si="5"/>
        <v>0</v>
      </c>
      <c r="N14" s="76"/>
      <c r="P14" s="10">
        <f>'2020 2P2C Bran'!C16</f>
        <v>0</v>
      </c>
      <c r="Q14" s="10">
        <f>'2022 2P2C Bran'!C16</f>
        <v>0</v>
      </c>
      <c r="R14" s="18">
        <f t="shared" si="7"/>
        <v>0</v>
      </c>
      <c r="S14" s="76"/>
      <c r="T14" s="10">
        <f>'2020 1P1C Bran'!C16</f>
        <v>0</v>
      </c>
      <c r="U14" s="10">
        <f>'2022 1P1C Bran'!C16</f>
        <v>0</v>
      </c>
      <c r="V14" s="18">
        <f t="shared" si="9"/>
        <v>0</v>
      </c>
      <c r="W14" s="76"/>
      <c r="X14" s="10">
        <f>'2020 1P Bran'!$C16</f>
        <v>0</v>
      </c>
      <c r="Y14" s="10">
        <f>'2022 1P Bran'!$C16</f>
        <v>0</v>
      </c>
      <c r="Z14" s="18">
        <f t="shared" si="11"/>
        <v>0</v>
      </c>
      <c r="AA14" s="76"/>
      <c r="AC14" s="10">
        <f>'2020 2P2C Thom'!C16</f>
        <v>0</v>
      </c>
      <c r="AD14" s="10">
        <f>'2022 2P2C Thom'!C16</f>
        <v>0</v>
      </c>
      <c r="AE14" s="18">
        <f t="shared" si="13"/>
        <v>0</v>
      </c>
      <c r="AF14" s="76"/>
      <c r="AG14" s="10">
        <f>'2020 1P1C Thom'!C16</f>
        <v>0</v>
      </c>
      <c r="AH14" s="10">
        <f>'2022 1P1C Thom'!C16</f>
        <v>0</v>
      </c>
      <c r="AI14" s="18">
        <f t="shared" si="15"/>
        <v>0</v>
      </c>
      <c r="AJ14" s="76"/>
      <c r="AK14" s="10">
        <f>'2020 1P Thom'!$C16</f>
        <v>0</v>
      </c>
      <c r="AL14" s="10">
        <f>'2022 1P Thom'!$C16</f>
        <v>0</v>
      </c>
      <c r="AM14" s="18">
        <f t="shared" si="17"/>
        <v>0</v>
      </c>
      <c r="AN14" s="76"/>
    </row>
    <row r="15" spans="1:40" x14ac:dyDescent="0.25">
      <c r="A15" t="s">
        <v>22</v>
      </c>
      <c r="B15" s="10">
        <f>'2020 2P2C WPG'!C17</f>
        <v>2379.6</v>
      </c>
      <c r="C15" s="10">
        <f>'2022 2P2C WPG'!C17</f>
        <v>2379.6</v>
      </c>
      <c r="D15" s="10">
        <f t="shared" si="0"/>
        <v>198.29999999999998</v>
      </c>
      <c r="E15" s="18">
        <f t="shared" si="1"/>
        <v>0</v>
      </c>
      <c r="F15" s="76">
        <f t="shared" si="2"/>
        <v>0</v>
      </c>
      <c r="G15" s="10">
        <f>'2020 1P1C WPG'!C17</f>
        <v>1064.4000000000001</v>
      </c>
      <c r="H15" s="10">
        <f>'2022 1P1C WPG'!C17</f>
        <v>1064.4000000000001</v>
      </c>
      <c r="I15" s="18">
        <f t="shared" si="3"/>
        <v>0</v>
      </c>
      <c r="J15" s="76">
        <f t="shared" si="4"/>
        <v>0</v>
      </c>
      <c r="K15" s="10">
        <f>'2020 1P WPG'!$C17</f>
        <v>819</v>
      </c>
      <c r="L15" s="10">
        <f>'2022 1P WPG'!$C17</f>
        <v>819</v>
      </c>
      <c r="M15" s="18">
        <f t="shared" si="5"/>
        <v>0</v>
      </c>
      <c r="N15" s="76">
        <f t="shared" si="6"/>
        <v>0</v>
      </c>
      <c r="P15" s="10">
        <f>'2020 2P2C Bran'!C17</f>
        <v>2379.6</v>
      </c>
      <c r="Q15" s="10">
        <f>'2022 2P2C Bran'!C17</f>
        <v>2379.6</v>
      </c>
      <c r="R15" s="18">
        <f t="shared" si="7"/>
        <v>0</v>
      </c>
      <c r="S15" s="76">
        <f t="shared" si="8"/>
        <v>0</v>
      </c>
      <c r="T15" s="10">
        <f>'2020 1P1C Bran'!C17</f>
        <v>1064.4000000000001</v>
      </c>
      <c r="U15" s="10">
        <f>'2022 1P1C Bran'!C17</f>
        <v>1064.4000000000001</v>
      </c>
      <c r="V15" s="18">
        <f t="shared" si="9"/>
        <v>0</v>
      </c>
      <c r="W15" s="76">
        <f t="shared" si="10"/>
        <v>0</v>
      </c>
      <c r="X15" s="10">
        <f>'2020 1P Bran'!$C17</f>
        <v>819</v>
      </c>
      <c r="Y15" s="10">
        <f>'2022 1P Bran'!$C17</f>
        <v>819</v>
      </c>
      <c r="Z15" s="18">
        <f t="shared" si="11"/>
        <v>0</v>
      </c>
      <c r="AA15" s="76">
        <f t="shared" ref="AA15:AA18" si="19">Z15/X15</f>
        <v>0</v>
      </c>
      <c r="AC15" s="10">
        <f>'2020 2P2C Thom'!C17</f>
        <v>2379.6</v>
      </c>
      <c r="AD15" s="10">
        <f>'2022 2P2C Thom'!C17</f>
        <v>2379.6</v>
      </c>
      <c r="AE15" s="18">
        <f t="shared" si="13"/>
        <v>0</v>
      </c>
      <c r="AF15" s="76">
        <f t="shared" si="14"/>
        <v>0</v>
      </c>
      <c r="AG15" s="10">
        <f>'2020 1P1C Thom'!C17</f>
        <v>1064.4000000000001</v>
      </c>
      <c r="AH15" s="10">
        <f>'2022 1P1C Thom'!C17</f>
        <v>1064.4000000000001</v>
      </c>
      <c r="AI15" s="18">
        <f t="shared" si="15"/>
        <v>0</v>
      </c>
      <c r="AJ15" s="76">
        <f t="shared" si="16"/>
        <v>0</v>
      </c>
      <c r="AK15" s="10">
        <f>'2020 1P Thom'!$C17</f>
        <v>819</v>
      </c>
      <c r="AL15" s="10">
        <f>'2022 1P Thom'!$C17</f>
        <v>819</v>
      </c>
      <c r="AM15" s="18">
        <f t="shared" si="17"/>
        <v>0</v>
      </c>
      <c r="AN15" s="76">
        <f t="shared" ref="AN15:AN18" si="20">AM15/AK15</f>
        <v>0</v>
      </c>
    </row>
    <row r="16" spans="1:40" x14ac:dyDescent="0.25">
      <c r="A16" t="s">
        <v>23</v>
      </c>
      <c r="B16" s="10">
        <f>'2020 2P2C WPG'!C18</f>
        <v>1791.2</v>
      </c>
      <c r="C16" s="10">
        <f>'2022 2P2C WPG'!C18</f>
        <v>1908.27</v>
      </c>
      <c r="D16" s="10">
        <f t="shared" si="0"/>
        <v>159.02250000000001</v>
      </c>
      <c r="E16" s="18">
        <f t="shared" si="1"/>
        <v>117.06999999999994</v>
      </c>
      <c r="F16" s="76">
        <f t="shared" si="2"/>
        <v>6.5358418937025417E-2</v>
      </c>
      <c r="G16" s="10">
        <f>'2020 1P1C WPG'!C18</f>
        <v>1791.2</v>
      </c>
      <c r="H16" s="10">
        <f>'2022 1P1C WPG'!C18</f>
        <v>1908.27</v>
      </c>
      <c r="I16" s="18">
        <f t="shared" si="3"/>
        <v>117.06999999999994</v>
      </c>
      <c r="J16" s="76">
        <f t="shared" si="4"/>
        <v>6.5358418937025417E-2</v>
      </c>
      <c r="K16" s="10">
        <f>'2020 1P WPG'!$C18</f>
        <v>1791.2</v>
      </c>
      <c r="L16" s="10">
        <f>'2022 1P WPG'!$C18</f>
        <v>1908.27</v>
      </c>
      <c r="M16" s="18">
        <f t="shared" si="5"/>
        <v>117.06999999999994</v>
      </c>
      <c r="N16" s="76">
        <f t="shared" si="6"/>
        <v>6.5358418937025417E-2</v>
      </c>
      <c r="P16" s="10">
        <f>'2020 2P2C Bran'!C18</f>
        <v>1791.2</v>
      </c>
      <c r="Q16" s="10">
        <f>'2022 2P2C Bran'!C18</f>
        <v>1908.27</v>
      </c>
      <c r="R16" s="18">
        <f t="shared" si="7"/>
        <v>117.06999999999994</v>
      </c>
      <c r="S16" s="76">
        <f t="shared" si="8"/>
        <v>6.5358418937025417E-2</v>
      </c>
      <c r="T16" s="10">
        <f>'2020 1P1C Bran'!C18</f>
        <v>1791.2</v>
      </c>
      <c r="U16" s="10">
        <f>'2022 1P1C Bran'!C18</f>
        <v>1908.27</v>
      </c>
      <c r="V16" s="18">
        <f t="shared" si="9"/>
        <v>117.06999999999994</v>
      </c>
      <c r="W16" s="76">
        <f t="shared" si="10"/>
        <v>6.5358418937025417E-2</v>
      </c>
      <c r="X16" s="10">
        <f>'2020 1P Bran'!$C18</f>
        <v>1791.2</v>
      </c>
      <c r="Y16" s="10">
        <f>'2022 1P Bran'!$C18</f>
        <v>1908.27</v>
      </c>
      <c r="Z16" s="18">
        <f t="shared" si="11"/>
        <v>117.06999999999994</v>
      </c>
      <c r="AA16" s="76">
        <f t="shared" si="19"/>
        <v>6.5358418937025417E-2</v>
      </c>
      <c r="AC16" s="10">
        <f>'2020 2P2C Thom'!C18</f>
        <v>1791.2</v>
      </c>
      <c r="AD16" s="10">
        <f>'2022 2P2C Thom'!C18</f>
        <v>1908.27</v>
      </c>
      <c r="AE16" s="18">
        <f t="shared" si="13"/>
        <v>117.06999999999994</v>
      </c>
      <c r="AF16" s="76">
        <f t="shared" si="14"/>
        <v>6.5358418937025417E-2</v>
      </c>
      <c r="AG16" s="10">
        <f>'2020 1P1C Thom'!C18</f>
        <v>1791.2</v>
      </c>
      <c r="AH16" s="10">
        <f>'2022 1P1C Thom'!C18</f>
        <v>1908.27</v>
      </c>
      <c r="AI16" s="18">
        <f t="shared" si="15"/>
        <v>117.06999999999994</v>
      </c>
      <c r="AJ16" s="76">
        <f t="shared" si="16"/>
        <v>6.5358418937025417E-2</v>
      </c>
      <c r="AK16" s="10">
        <f>'2020 1P Thom'!$C18</f>
        <v>1791.2</v>
      </c>
      <c r="AL16" s="10">
        <f>'2022 1P Thom'!$C18</f>
        <v>1908.27</v>
      </c>
      <c r="AM16" s="18">
        <f t="shared" si="17"/>
        <v>117.06999999999994</v>
      </c>
      <c r="AN16" s="76">
        <f t="shared" si="20"/>
        <v>6.5358418937025417E-2</v>
      </c>
    </row>
    <row r="17" spans="1:40" x14ac:dyDescent="0.25">
      <c r="A17" t="s">
        <v>24</v>
      </c>
      <c r="B17" s="10">
        <f>'2020 2P2C WPG'!C19</f>
        <v>2261</v>
      </c>
      <c r="C17" s="10">
        <f>'2022 2P2C WPG'!C19</f>
        <v>2567.6</v>
      </c>
      <c r="D17" s="10">
        <f t="shared" si="0"/>
        <v>213.96666666666667</v>
      </c>
      <c r="E17" s="18">
        <f t="shared" si="1"/>
        <v>306.59999999999991</v>
      </c>
      <c r="F17" s="76">
        <f t="shared" si="2"/>
        <v>0.13560371517027861</v>
      </c>
      <c r="G17" s="10">
        <f>'2020 1P1C WPG'!C19</f>
        <v>1484</v>
      </c>
      <c r="H17" s="10">
        <f>'2022 1P1C WPG'!C19</f>
        <v>1769.6000000000001</v>
      </c>
      <c r="I17" s="18">
        <f t="shared" si="3"/>
        <v>285.60000000000014</v>
      </c>
      <c r="J17" s="76">
        <f t="shared" si="4"/>
        <v>0.19245283018867934</v>
      </c>
      <c r="K17" s="10">
        <f>'2020 1P WPG'!$C19</f>
        <v>1148.7</v>
      </c>
      <c r="L17" s="10">
        <f>'2022 1P WPG'!$C19</f>
        <v>1324.4</v>
      </c>
      <c r="M17" s="18">
        <f t="shared" si="5"/>
        <v>175.70000000000005</v>
      </c>
      <c r="N17" s="76">
        <f t="shared" si="6"/>
        <v>0.15295551492992082</v>
      </c>
      <c r="P17" s="10">
        <f>'2020 2P2C Bran'!C19</f>
        <v>1986.6</v>
      </c>
      <c r="Q17" s="10">
        <f>'2022 2P2C Bran'!C19</f>
        <v>2192.4</v>
      </c>
      <c r="R17" s="18">
        <f t="shared" si="7"/>
        <v>205.80000000000018</v>
      </c>
      <c r="S17" s="76">
        <f t="shared" si="8"/>
        <v>0.10359408033826648</v>
      </c>
      <c r="T17" s="10">
        <f>'2020 1P1C Bran'!C19</f>
        <v>1010.8</v>
      </c>
      <c r="U17" s="10">
        <f>'2022 1P1C Bran'!C19</f>
        <v>992.6</v>
      </c>
      <c r="V17" s="18">
        <f t="shared" si="9"/>
        <v>-18.199999999999932</v>
      </c>
      <c r="W17" s="76">
        <f t="shared" si="10"/>
        <v>-1.8005540166204918E-2</v>
      </c>
      <c r="X17" s="10">
        <f>'2020 1P Bran'!$C19</f>
        <v>924.7</v>
      </c>
      <c r="Y17" s="10">
        <f>'2022 1P Bran'!$C19</f>
        <v>1054.9000000000001</v>
      </c>
      <c r="Z17" s="18">
        <f t="shared" si="11"/>
        <v>130.20000000000005</v>
      </c>
      <c r="AA17" s="76">
        <f t="shared" si="19"/>
        <v>0.14080242240726726</v>
      </c>
      <c r="AC17" s="10">
        <f>'2020 2P2C Thom'!C19</f>
        <v>1997.8</v>
      </c>
      <c r="AD17" s="10">
        <f>'2022 2P2C Thom'!C19</f>
        <v>2275</v>
      </c>
      <c r="AE17" s="18">
        <f t="shared" si="13"/>
        <v>277.20000000000005</v>
      </c>
      <c r="AF17" s="76">
        <f t="shared" si="14"/>
        <v>0.13875262789067977</v>
      </c>
      <c r="AG17" s="10">
        <f>'2020 1P1C Thom'!C19</f>
        <v>1045.0999999999999</v>
      </c>
      <c r="AH17" s="10">
        <f>'2022 1P1C Thom'!C19</f>
        <v>1103.8999999999999</v>
      </c>
      <c r="AI17" s="18">
        <f t="shared" si="15"/>
        <v>58.799999999999955</v>
      </c>
      <c r="AJ17" s="76">
        <f t="shared" si="16"/>
        <v>5.6262558606831846E-2</v>
      </c>
      <c r="AK17" s="10">
        <f>'2020 1P Thom'!$C19</f>
        <v>1320.2</v>
      </c>
      <c r="AL17" s="10">
        <f>'2022 1P Thom'!$C19</f>
        <v>1400.7</v>
      </c>
      <c r="AM17" s="18">
        <f t="shared" si="17"/>
        <v>80.5</v>
      </c>
      <c r="AN17" s="76">
        <f t="shared" si="20"/>
        <v>6.097560975609756E-2</v>
      </c>
    </row>
    <row r="18" spans="1:40" s="2" customFormat="1" x14ac:dyDescent="0.25">
      <c r="A18" s="2" t="s">
        <v>25</v>
      </c>
      <c r="B18" s="13">
        <f>'2020 2P2C WPG'!C20</f>
        <v>61424.198324497731</v>
      </c>
      <c r="C18" s="13">
        <f>'2022 2P2C WPG'!C20</f>
        <v>66847.033325636905</v>
      </c>
      <c r="D18" s="10">
        <f t="shared" si="0"/>
        <v>5570.5861104697424</v>
      </c>
      <c r="E18" s="18">
        <f t="shared" si="1"/>
        <v>5422.835001139174</v>
      </c>
      <c r="F18" s="76">
        <f t="shared" si="2"/>
        <v>8.8284994335471725E-2</v>
      </c>
      <c r="G18" s="13">
        <f>'2020 1P1C WPG'!C20</f>
        <v>43064.481412946261</v>
      </c>
      <c r="H18" s="13">
        <f>'2022 1P1C WPG'!C20</f>
        <v>48361.011278629536</v>
      </c>
      <c r="I18" s="18">
        <f t="shared" si="3"/>
        <v>5296.5298656832747</v>
      </c>
      <c r="J18" s="76">
        <f t="shared" si="4"/>
        <v>0.12299068029856747</v>
      </c>
      <c r="K18" s="10">
        <f>'2020 1P WPG'!$C20</f>
        <v>25329.715498097536</v>
      </c>
      <c r="L18" s="10">
        <f>'2022 1P WPG'!$C20</f>
        <v>28908.956026082935</v>
      </c>
      <c r="M18" s="18">
        <f t="shared" si="5"/>
        <v>3579.2405279853992</v>
      </c>
      <c r="N18" s="76">
        <f t="shared" si="6"/>
        <v>0.14130599012271688</v>
      </c>
      <c r="O18" s="75"/>
      <c r="P18" s="10">
        <f>'2020 2P2C Bran'!C20</f>
        <v>57950.528823969216</v>
      </c>
      <c r="Q18" s="13">
        <f>'2022 2P2C Bran'!C20</f>
        <v>62002.671181411351</v>
      </c>
      <c r="R18" s="18">
        <f t="shared" si="7"/>
        <v>4052.1423574421351</v>
      </c>
      <c r="S18" s="76">
        <f t="shared" si="8"/>
        <v>6.9924165312640035E-2</v>
      </c>
      <c r="T18" s="13">
        <f>'2020 1P1C Bran'!C20</f>
        <v>38710.729925168809</v>
      </c>
      <c r="U18" s="13">
        <f>'2022 1P1C Bran'!C20</f>
        <v>43030.540827869743</v>
      </c>
      <c r="V18" s="18">
        <f t="shared" si="9"/>
        <v>4319.8109027009341</v>
      </c>
      <c r="W18" s="76">
        <f t="shared" si="10"/>
        <v>0.11159208082749932</v>
      </c>
      <c r="X18" s="10">
        <f>'2020 1P Bran'!$C20</f>
        <v>21507.737372923682</v>
      </c>
      <c r="Y18" s="10">
        <f>'2022 1P Bran'!$C20</f>
        <v>24898.932115003954</v>
      </c>
      <c r="Z18" s="18">
        <f t="shared" si="11"/>
        <v>3391.1947420802717</v>
      </c>
      <c r="AA18" s="76">
        <f t="shared" si="19"/>
        <v>0.15767324490159912</v>
      </c>
      <c r="AB18" s="75"/>
      <c r="AC18" s="10">
        <f>'2020 2P2C Thom'!C20</f>
        <v>59914.501430819648</v>
      </c>
      <c r="AD18" s="13">
        <f>'2022 2P2C Thom'!C20</f>
        <v>64898.754413924726</v>
      </c>
      <c r="AE18" s="18">
        <f t="shared" si="13"/>
        <v>4984.2529831050779</v>
      </c>
      <c r="AF18" s="76">
        <f t="shared" si="14"/>
        <v>8.3189425999983524E-2</v>
      </c>
      <c r="AG18" s="13">
        <f>'2020 1P1C Thom'!C20</f>
        <v>42429.989627733805</v>
      </c>
      <c r="AH18" s="13">
        <f>'2022 1P1C Thom'!C20</f>
        <v>47504.094677170113</v>
      </c>
      <c r="AI18" s="18">
        <f t="shared" si="15"/>
        <v>5074.105049436308</v>
      </c>
      <c r="AJ18" s="76">
        <f t="shared" si="16"/>
        <v>0.11958770421474924</v>
      </c>
      <c r="AK18" s="10">
        <f>'2020 1P Thom'!$C20</f>
        <v>28685.642919964808</v>
      </c>
      <c r="AL18" s="10">
        <f>'2022 1P Thom'!$C20</f>
        <v>30443.473731260634</v>
      </c>
      <c r="AM18" s="18">
        <f t="shared" si="17"/>
        <v>1757.8308112958257</v>
      </c>
      <c r="AN18" s="76">
        <f t="shared" si="20"/>
        <v>6.1279114998409184E-2</v>
      </c>
    </row>
    <row r="19" spans="1:40" x14ac:dyDescent="0.25">
      <c r="B19" s="10"/>
      <c r="C19" s="10"/>
      <c r="D19" s="10"/>
      <c r="E19" s="10"/>
      <c r="F19" s="10"/>
      <c r="H19" s="10"/>
      <c r="K19" s="10"/>
      <c r="L19" s="10"/>
      <c r="M19" s="18"/>
      <c r="N19" s="76"/>
      <c r="X19" s="10"/>
      <c r="Y19" s="10"/>
      <c r="Z19" s="18"/>
      <c r="AA19" s="76"/>
      <c r="AC19" s="10"/>
      <c r="AK19" s="10"/>
      <c r="AL19" s="10"/>
      <c r="AM19" s="18"/>
      <c r="AN19" s="76"/>
    </row>
    <row r="20" spans="1:40" x14ac:dyDescent="0.25">
      <c r="B20" s="10"/>
      <c r="C20" s="10"/>
      <c r="D20" s="10"/>
      <c r="E20" s="10"/>
      <c r="F20" s="10"/>
      <c r="H20" s="10"/>
      <c r="K20" s="10"/>
      <c r="L20" s="10"/>
      <c r="M20" s="18"/>
      <c r="N20" s="76"/>
      <c r="X20" s="10"/>
      <c r="Y20" s="10"/>
      <c r="Z20" s="18"/>
      <c r="AA20" s="76"/>
      <c r="AC20" s="10"/>
      <c r="AK20" s="10"/>
      <c r="AL20" s="10"/>
      <c r="AM20" s="18"/>
      <c r="AN20" s="76"/>
    </row>
    <row r="21" spans="1:40" x14ac:dyDescent="0.25">
      <c r="B21" s="10"/>
      <c r="C21" s="10"/>
      <c r="D21" s="10"/>
      <c r="E21" s="10"/>
      <c r="F21" s="10"/>
      <c r="H21" s="10"/>
      <c r="K21" s="10"/>
      <c r="L21" s="10"/>
      <c r="M21" s="18"/>
      <c r="N21" s="76"/>
      <c r="X21" s="10"/>
      <c r="Y21" s="10"/>
      <c r="Z21" s="18"/>
      <c r="AA21" s="76"/>
      <c r="AK21" s="10"/>
      <c r="AL21" s="10"/>
      <c r="AM21" s="18"/>
      <c r="AN21" s="76"/>
    </row>
    <row r="22" spans="1:40" x14ac:dyDescent="0.25">
      <c r="B22" s="10"/>
      <c r="C22" s="10"/>
      <c r="D22" s="10"/>
      <c r="E22" s="10"/>
      <c r="F22" s="10"/>
      <c r="H22" s="10"/>
      <c r="K22" s="10"/>
      <c r="L22" s="10"/>
      <c r="M22" s="18"/>
      <c r="N22" s="76"/>
      <c r="X22" s="10"/>
      <c r="Y22" s="10"/>
      <c r="Z22" s="18"/>
      <c r="AA22" s="76"/>
      <c r="AK22" s="10"/>
      <c r="AL22" s="10"/>
      <c r="AM22" s="18"/>
      <c r="AN22" s="76"/>
    </row>
    <row r="23" spans="1:40" x14ac:dyDescent="0.25">
      <c r="A23" s="77" t="s">
        <v>26</v>
      </c>
      <c r="B23" s="196" t="s">
        <v>12</v>
      </c>
      <c r="C23" s="10" t="s">
        <v>12</v>
      </c>
      <c r="D23" s="10"/>
      <c r="E23" s="10"/>
      <c r="F23" s="10"/>
      <c r="G23" s="10" t="s">
        <v>12</v>
      </c>
      <c r="H23" s="10" t="s">
        <v>12</v>
      </c>
      <c r="K23" s="10" t="str">
        <f>'2020 1P WPG'!C25</f>
        <v>Annually</v>
      </c>
      <c r="L23" s="10" t="str">
        <f>'2022 1P WPG'!C25</f>
        <v>Annually</v>
      </c>
      <c r="M23" s="18"/>
      <c r="N23" s="76"/>
      <c r="P23" s="196" t="s">
        <v>12</v>
      </c>
      <c r="Q23" s="10" t="s">
        <v>12</v>
      </c>
      <c r="R23" s="10"/>
      <c r="T23" s="10" t="s">
        <v>12</v>
      </c>
      <c r="U23" s="10" t="s">
        <v>12</v>
      </c>
      <c r="X23" s="10">
        <f>'2020 1P Bran'!P25</f>
        <v>0</v>
      </c>
      <c r="Y23" s="10">
        <f>'2022 1P Bran'!P25</f>
        <v>0</v>
      </c>
      <c r="Z23" s="18"/>
      <c r="AA23" s="76"/>
      <c r="AC23" s="196" t="s">
        <v>12</v>
      </c>
      <c r="AD23" s="10" t="s">
        <v>12</v>
      </c>
      <c r="AE23" s="10"/>
      <c r="AG23" s="10" t="s">
        <v>12</v>
      </c>
      <c r="AH23" s="10" t="s">
        <v>12</v>
      </c>
      <c r="AK23" s="10">
        <f>'2020 1P Thom'!AC25</f>
        <v>0</v>
      </c>
      <c r="AL23" s="10">
        <f>'2022 1P Thom'!AC25</f>
        <v>0</v>
      </c>
      <c r="AM23" s="18"/>
      <c r="AN23" s="76"/>
    </row>
    <row r="24" spans="1:40" x14ac:dyDescent="0.25">
      <c r="A24" s="78" t="s">
        <v>27</v>
      </c>
      <c r="B24" s="10">
        <f ca="1">'2020 2P2C WPG'!C28</f>
        <v>9530.74</v>
      </c>
      <c r="C24" s="10">
        <f ca="1">'2022 2P2C WPG'!C28</f>
        <v>8937.9340000000011</v>
      </c>
      <c r="D24" s="10"/>
      <c r="E24" s="18">
        <f ca="1">C24-B24</f>
        <v>-592.80599999999868</v>
      </c>
      <c r="F24" s="76">
        <f t="shared" ref="F24" ca="1" si="21">E24/B24</f>
        <v>-6.2199367520255372E-2</v>
      </c>
      <c r="G24" s="10">
        <f ca="1">'2020 1P1C WPG'!C28</f>
        <v>6544.5384999999997</v>
      </c>
      <c r="H24" s="10">
        <f ca="1">'2022 1P1C WPG'!C28</f>
        <v>6284.2174999999997</v>
      </c>
      <c r="I24" s="18">
        <f t="shared" ref="I24:I28" ca="1" si="22">H24-G24</f>
        <v>-260.32099999999991</v>
      </c>
      <c r="J24" s="76">
        <f t="shared" ref="J24:J28" ca="1" si="23">I24/G24</f>
        <v>-3.9776830711592562E-2</v>
      </c>
      <c r="K24" s="10">
        <f>'2020 1P WPG'!$C28</f>
        <v>0</v>
      </c>
      <c r="L24" s="10">
        <f>'2022 1P WPG'!$C28</f>
        <v>0</v>
      </c>
      <c r="M24" s="18">
        <f t="shared" ref="M24" si="24">L24-K24</f>
        <v>0</v>
      </c>
      <c r="N24" s="76"/>
      <c r="P24" s="10">
        <f ca="1">'2020 2P2C Bran'!C28</f>
        <v>10493.884</v>
      </c>
      <c r="Q24" s="10">
        <f ca="1">'2022 2P2C Bran'!C28</f>
        <v>10254.885999999999</v>
      </c>
      <c r="R24" s="18">
        <f ca="1">Q24-P24</f>
        <v>-238.99800000000141</v>
      </c>
      <c r="S24" s="79">
        <f ca="1">R24/P24</f>
        <v>-2.2774980169401663E-2</v>
      </c>
      <c r="T24" s="10">
        <f ca="1">'2020 1P1C Bran'!C28</f>
        <v>6639</v>
      </c>
      <c r="U24" s="10">
        <f ca="1">'2022 1P1C Bran'!C28</f>
        <v>6833</v>
      </c>
      <c r="V24" s="18">
        <f ca="1">U24-T24</f>
        <v>194</v>
      </c>
      <c r="W24" s="79">
        <f t="shared" ref="W24:W28" ca="1" si="25">V24/T24</f>
        <v>2.9221268263292664E-2</v>
      </c>
      <c r="X24" s="10">
        <f>'2020 1P Bran'!$C28</f>
        <v>0</v>
      </c>
      <c r="Y24" s="10">
        <f>'2022 1P Bran'!$C28</f>
        <v>0</v>
      </c>
      <c r="Z24" s="18">
        <f t="shared" ref="Z24:Z28" si="26">Y24-X24</f>
        <v>0</v>
      </c>
      <c r="AA24" s="76"/>
      <c r="AC24" s="10">
        <f ca="1">'2020 2P2C Thom'!C28</f>
        <v>10996.597</v>
      </c>
      <c r="AD24" s="10">
        <f ca="1">'2022 2P2C Thom'!C28</f>
        <v>10506.985000000001</v>
      </c>
      <c r="AE24" s="18">
        <f ca="1">AD24-AC24</f>
        <v>-489.61199999999917</v>
      </c>
      <c r="AF24" s="79">
        <f ca="1">AE24/AC24</f>
        <v>-4.4523955911087695E-2</v>
      </c>
      <c r="AG24" s="10">
        <f ca="1">'2020 1P1C Thom'!C28</f>
        <v>6639</v>
      </c>
      <c r="AH24" s="10">
        <f ca="1">'2022 1P1C Thom'!C28</f>
        <v>6833</v>
      </c>
      <c r="AI24" s="18">
        <f ca="1">AH24-AG24</f>
        <v>194</v>
      </c>
      <c r="AJ24" s="79">
        <f t="shared" ref="AJ24:AJ28" ca="1" si="27">AI24/AG24</f>
        <v>2.9221268263292664E-2</v>
      </c>
      <c r="AK24" s="10">
        <f>'2020 1P Thom'!$C28</f>
        <v>0</v>
      </c>
      <c r="AL24" s="10">
        <f>'2022 1P Thom'!$C28</f>
        <v>0</v>
      </c>
      <c r="AM24" s="18">
        <f t="shared" ref="AM24:AM28" si="28">AL24-AK24</f>
        <v>0</v>
      </c>
      <c r="AN24" s="76"/>
    </row>
    <row r="25" spans="1:40" x14ac:dyDescent="0.25">
      <c r="A25" t="s">
        <v>28</v>
      </c>
      <c r="B25" s="10">
        <f ca="1">'2020 2P2C WPG'!C30</f>
        <v>215.64999999999998</v>
      </c>
      <c r="C25" s="10">
        <f ca="1">'2022 2P2C WPG'!C30</f>
        <v>0</v>
      </c>
      <c r="D25" s="10"/>
      <c r="E25" s="18">
        <f ca="1">C25-B25</f>
        <v>-215.64999999999998</v>
      </c>
      <c r="F25" s="76">
        <f t="shared" ref="F25" ca="1" si="29">E25/B25</f>
        <v>-1</v>
      </c>
      <c r="G25" s="10">
        <f ca="1">'2020 1P1C WPG'!C30</f>
        <v>733</v>
      </c>
      <c r="H25" s="10">
        <f ca="1">'2022 1P1C WPG'!C30</f>
        <v>706.21249999999964</v>
      </c>
      <c r="I25" s="18">
        <f t="shared" ca="1" si="22"/>
        <v>-26.787500000000364</v>
      </c>
      <c r="J25" s="76">
        <f t="shared" ca="1" si="23"/>
        <v>-3.6545020463847701E-2</v>
      </c>
      <c r="K25" s="10">
        <f ca="1">'2020 1P WPG'!$C30</f>
        <v>290</v>
      </c>
      <c r="L25" s="10">
        <f ca="1">'2022 1P WPG'!$C30</f>
        <v>299</v>
      </c>
      <c r="M25" s="18">
        <f t="shared" ref="M25" ca="1" si="30">L25-K25</f>
        <v>9</v>
      </c>
      <c r="N25" s="76">
        <f t="shared" ref="N25" ca="1" si="31">M25/K25</f>
        <v>3.1034482758620689E-2</v>
      </c>
      <c r="P25" s="10">
        <f ca="1">'2020 2P2C Bran'!C30</f>
        <v>572.37000000000012</v>
      </c>
      <c r="Q25" s="10">
        <f ca="1">'2022 2P2C Bran'!C30</f>
        <v>387.37999999999988</v>
      </c>
      <c r="R25" s="18">
        <f ca="1">Q25-P25</f>
        <v>-184.99000000000024</v>
      </c>
      <c r="S25" s="79">
        <f ca="1">R25/P25</f>
        <v>-0.3232000279539462</v>
      </c>
      <c r="T25" s="10">
        <f ca="1">'2020 1P1C Bran'!C30</f>
        <v>733</v>
      </c>
      <c r="U25" s="10">
        <f ca="1">'2022 1P1C Bran'!C30</f>
        <v>755</v>
      </c>
      <c r="V25" s="18">
        <f ca="1">U25-T25</f>
        <v>22</v>
      </c>
      <c r="W25" s="79">
        <f t="shared" ca="1" si="25"/>
        <v>3.0013642564802184E-2</v>
      </c>
      <c r="X25" s="10">
        <f ca="1">'2020 1P Bran'!$C30</f>
        <v>290</v>
      </c>
      <c r="Y25" s="10">
        <f ca="1">'2022 1P Bran'!$C30</f>
        <v>299</v>
      </c>
      <c r="Z25" s="18">
        <f t="shared" ca="1" si="26"/>
        <v>9</v>
      </c>
      <c r="AA25" s="76">
        <f t="shared" ref="AA25" ca="1" si="32">Z25/X25</f>
        <v>3.1034482758620689E-2</v>
      </c>
      <c r="AC25" s="10">
        <f ca="1">'2020 2P2C Thom'!C30</f>
        <v>758.56000000000017</v>
      </c>
      <c r="AD25" s="10">
        <f ca="1">'2022 2P2C Thom'!C30</f>
        <v>480.75</v>
      </c>
      <c r="AE25" s="18">
        <f ca="1">AD25-AC25</f>
        <v>-277.81000000000017</v>
      </c>
      <c r="AF25" s="79">
        <f ca="1">AE25/AC25</f>
        <v>-0.36623338958025747</v>
      </c>
      <c r="AG25" s="10">
        <f ca="1">'2020 1P1C Thom'!C30</f>
        <v>733</v>
      </c>
      <c r="AH25" s="10">
        <f ca="1">'2022 1P1C Thom'!C30</f>
        <v>755</v>
      </c>
      <c r="AI25" s="18">
        <f ca="1">AH25-AG25</f>
        <v>22</v>
      </c>
      <c r="AJ25" s="79">
        <f t="shared" ca="1" si="27"/>
        <v>3.0013642564802184E-2</v>
      </c>
      <c r="AK25" s="10">
        <f ca="1">'2020 1P Thom'!$C30</f>
        <v>290</v>
      </c>
      <c r="AL25" s="10">
        <f ca="1">'2022 1P Thom'!$C30</f>
        <v>299</v>
      </c>
      <c r="AM25" s="18">
        <f t="shared" ca="1" si="28"/>
        <v>9</v>
      </c>
      <c r="AN25" s="76">
        <f t="shared" ref="AN25" ca="1" si="33">AM25/AK25</f>
        <v>3.1034482758620689E-2</v>
      </c>
    </row>
    <row r="26" spans="1:40" x14ac:dyDescent="0.25">
      <c r="A26" t="s">
        <v>29</v>
      </c>
      <c r="B26" s="10">
        <f ca="1">'2020 2P2C WPG'!C31</f>
        <v>0</v>
      </c>
      <c r="C26" s="10">
        <f ca="1">'2022 2P2C WPG'!C31</f>
        <v>0</v>
      </c>
      <c r="D26" s="10"/>
      <c r="E26" s="10"/>
      <c r="F26" s="10"/>
      <c r="G26" s="10">
        <f ca="1">'2020 1P1C WPG'!C31</f>
        <v>0</v>
      </c>
      <c r="H26" s="10">
        <f ca="1">'2022 1P1C WPG'!C31</f>
        <v>0</v>
      </c>
      <c r="I26" s="18">
        <f t="shared" ca="1" si="22"/>
        <v>0</v>
      </c>
      <c r="J26" s="76" t="e">
        <f t="shared" ca="1" si="23"/>
        <v>#DIV/0!</v>
      </c>
      <c r="K26" s="10">
        <f ca="1">'2020 1P WPG'!$C31</f>
        <v>0</v>
      </c>
      <c r="L26" s="10">
        <f ca="1">'2022 1P WPG'!$C31</f>
        <v>0</v>
      </c>
      <c r="M26" s="18">
        <f t="shared" ref="M26:M28" ca="1" si="34">L26-K26</f>
        <v>0</v>
      </c>
      <c r="N26" s="76"/>
      <c r="P26" s="10">
        <f ca="1">'2020 2P2C Bran'!C31</f>
        <v>0</v>
      </c>
      <c r="Q26" s="10">
        <f ca="1">'2022 2P2C Bran'!C31</f>
        <v>0</v>
      </c>
      <c r="R26" s="18">
        <f t="shared" ref="R26:R27" ca="1" si="35">Q26-P26</f>
        <v>0</v>
      </c>
      <c r="S26" s="79" t="e">
        <f t="shared" ref="S26:S27" ca="1" si="36">R26/P26</f>
        <v>#DIV/0!</v>
      </c>
      <c r="T26" s="10">
        <f ca="1">'2020 1P1C Bran'!C31</f>
        <v>149.61666666666588</v>
      </c>
      <c r="U26" s="10">
        <f ca="1">'2022 1P1C Bran'!C31</f>
        <v>1592.3166666666675</v>
      </c>
      <c r="V26" s="211">
        <f ca="1">U26-T26</f>
        <v>1442.7000000000016</v>
      </c>
      <c r="W26" s="79">
        <f t="shared" ca="1" si="25"/>
        <v>9.6426423081208146</v>
      </c>
      <c r="X26" s="10">
        <f ca="1">'2020 1P Bran'!$C31</f>
        <v>0</v>
      </c>
      <c r="Y26" s="10">
        <f ca="1">'2022 1P Bran'!$C31</f>
        <v>0</v>
      </c>
      <c r="Z26" s="18">
        <f t="shared" ca="1" si="26"/>
        <v>0</v>
      </c>
      <c r="AA26" s="76"/>
      <c r="AC26" s="10">
        <f ca="1">'2020 2P2C Thom'!C31</f>
        <v>0</v>
      </c>
      <c r="AD26" s="10">
        <f ca="1">'2022 2P2C Thom'!C31</f>
        <v>0</v>
      </c>
      <c r="AE26" s="18">
        <f t="shared" ref="AE26:AE27" ca="1" si="37">AD26-AC26</f>
        <v>0</v>
      </c>
      <c r="AF26" s="79" t="e">
        <f t="shared" ref="AF26:AF27" ca="1" si="38">AE26/AC26</f>
        <v>#DIV/0!</v>
      </c>
      <c r="AG26" s="10">
        <f ca="1">'2020 1P1C Thom'!C31</f>
        <v>1929.6833333333334</v>
      </c>
      <c r="AH26" s="10">
        <f ca="1">'2022 1P1C Thom'!C31</f>
        <v>3037.3833333333332</v>
      </c>
      <c r="AI26" s="211">
        <f ca="1">AH26-AG26</f>
        <v>1107.6999999999998</v>
      </c>
      <c r="AJ26" s="79">
        <f t="shared" ca="1" si="27"/>
        <v>0.57403200870609161</v>
      </c>
      <c r="AK26" s="10">
        <f ca="1">'2020 1P Thom'!$C31</f>
        <v>0</v>
      </c>
      <c r="AL26" s="10">
        <f ca="1">'2022 1P Thom'!$C31</f>
        <v>0</v>
      </c>
      <c r="AM26" s="18">
        <f t="shared" ca="1" si="28"/>
        <v>0</v>
      </c>
      <c r="AN26" s="76"/>
    </row>
    <row r="27" spans="1:40" x14ac:dyDescent="0.25">
      <c r="A27" t="s">
        <v>30</v>
      </c>
      <c r="B27" s="10">
        <f ca="1">'2020 2P2C WPG'!C32</f>
        <v>0</v>
      </c>
      <c r="C27" s="10">
        <f ca="1">'2022 2P2C WPG'!C32</f>
        <v>0</v>
      </c>
      <c r="D27" s="10"/>
      <c r="E27" s="18"/>
      <c r="F27" s="76"/>
      <c r="G27" s="10">
        <f ca="1">'2020 1P1C WPG'!C32</f>
        <v>591.16500000000087</v>
      </c>
      <c r="H27" s="10">
        <f ca="1">'2022 1P1C WPG'!C32</f>
        <v>0</v>
      </c>
      <c r="I27" s="18">
        <f t="shared" ca="1" si="22"/>
        <v>-591.16500000000087</v>
      </c>
      <c r="J27" s="76">
        <f t="shared" ca="1" si="23"/>
        <v>-1</v>
      </c>
      <c r="K27" s="10">
        <f ca="1">'2020 1P WPG'!$C32</f>
        <v>0</v>
      </c>
      <c r="L27" s="10">
        <f ca="1">'2022 1P WPG'!$C32</f>
        <v>0</v>
      </c>
      <c r="M27" s="18">
        <f t="shared" ca="1" si="34"/>
        <v>0</v>
      </c>
      <c r="N27" s="76"/>
      <c r="P27" s="10">
        <f ca="1">'2020 2P2C Bran'!C32</f>
        <v>0</v>
      </c>
      <c r="Q27" s="10">
        <f ca="1">'2022 2P2C Bran'!C32</f>
        <v>0</v>
      </c>
      <c r="R27" s="18">
        <f t="shared" ca="1" si="35"/>
        <v>0</v>
      </c>
      <c r="S27" s="79" t="e">
        <f t="shared" ca="1" si="36"/>
        <v>#DIV/0!</v>
      </c>
      <c r="T27" s="10">
        <f ca="1">'2020 1P1C Bran'!C32</f>
        <v>4237.24</v>
      </c>
      <c r="U27" s="10">
        <f ca="1">'2022 1P1C Bran'!C32</f>
        <v>6025.7800000000025</v>
      </c>
      <c r="V27" s="211">
        <f ca="1">U27-T27</f>
        <v>1788.5400000000027</v>
      </c>
      <c r="W27" s="79">
        <f t="shared" ca="1" si="25"/>
        <v>0.42210023505867095</v>
      </c>
      <c r="X27" s="10">
        <f ca="1">'2020 1P Bran'!$C32</f>
        <v>0</v>
      </c>
      <c r="Y27" s="10">
        <f ca="1">'2022 1P Bran'!$C32</f>
        <v>0</v>
      </c>
      <c r="Z27" s="18">
        <f t="shared" ca="1" si="26"/>
        <v>0</v>
      </c>
      <c r="AA27" s="76"/>
      <c r="AC27" s="10">
        <f ca="1">'2020 2P2C Thom'!C32</f>
        <v>0</v>
      </c>
      <c r="AD27" s="10">
        <f ca="1">'2022 2P2C Thom'!C32</f>
        <v>0</v>
      </c>
      <c r="AE27" s="18">
        <f t="shared" ca="1" si="37"/>
        <v>0</v>
      </c>
      <c r="AF27" s="79" t="e">
        <f t="shared" ca="1" si="38"/>
        <v>#DIV/0!</v>
      </c>
      <c r="AG27" s="10">
        <f ca="1">'2020 1P1C Thom'!C32</f>
        <v>4640.18</v>
      </c>
      <c r="AH27" s="10">
        <f ca="1">'2022 1P1C Thom'!C32</f>
        <v>5928.6200000000026</v>
      </c>
      <c r="AI27" s="211">
        <f ca="1">AH27-AG27</f>
        <v>1288.4400000000023</v>
      </c>
      <c r="AJ27" s="79">
        <f t="shared" ca="1" si="27"/>
        <v>0.27767026279153012</v>
      </c>
      <c r="AK27" s="10">
        <f ca="1">'2020 1P Thom'!$C32</f>
        <v>0</v>
      </c>
      <c r="AL27" s="10">
        <f ca="1">'2022 1P Thom'!$C32</f>
        <v>0</v>
      </c>
      <c r="AM27" s="18">
        <f t="shared" ca="1" si="28"/>
        <v>0</v>
      </c>
      <c r="AN27" s="76"/>
    </row>
    <row r="28" spans="1:40" s="2" customFormat="1" x14ac:dyDescent="0.25">
      <c r="A28" s="2" t="s">
        <v>25</v>
      </c>
      <c r="B28" s="13">
        <f ca="1">'2020 2P2C WPG'!C33</f>
        <v>9746.39</v>
      </c>
      <c r="C28" s="13">
        <f ca="1">'2022 2P2C WPG'!C33</f>
        <v>8937.9340000000011</v>
      </c>
      <c r="D28" s="13"/>
      <c r="E28" s="18">
        <f ca="1">C28-B28</f>
        <v>-808.45599999999831</v>
      </c>
      <c r="F28" s="79">
        <f ca="1">E28/B28</f>
        <v>-8.2949276603952682E-2</v>
      </c>
      <c r="G28" s="13">
        <f ca="1">'2020 1P1C WPG'!C33</f>
        <v>7868.7035000000005</v>
      </c>
      <c r="H28" s="13">
        <f ca="1">'2022 1P1C WPG'!C33</f>
        <v>6990.4299999999994</v>
      </c>
      <c r="I28" s="18">
        <f t="shared" ca="1" si="22"/>
        <v>-878.27350000000115</v>
      </c>
      <c r="J28" s="76">
        <f t="shared" ca="1" si="23"/>
        <v>-0.11161603687316482</v>
      </c>
      <c r="K28" s="10">
        <f ca="1">'2020 1P WPG'!$C33</f>
        <v>290</v>
      </c>
      <c r="L28" s="10">
        <f ca="1">'2022 1P WPG'!$C33</f>
        <v>299</v>
      </c>
      <c r="M28" s="18">
        <f t="shared" ca="1" si="34"/>
        <v>9</v>
      </c>
      <c r="N28" s="76">
        <f t="shared" ref="N28" ca="1" si="39">M28/K28</f>
        <v>3.1034482758620689E-2</v>
      </c>
      <c r="O28" s="75"/>
      <c r="P28" s="13">
        <f ca="1">'2020 2P2C Bran'!C33</f>
        <v>11066.254000000001</v>
      </c>
      <c r="Q28" s="13">
        <f ca="1">'2022 2P2C Bran'!C33</f>
        <v>10642.265999999998</v>
      </c>
      <c r="R28" s="18">
        <f ca="1">Q28-P28</f>
        <v>-423.98800000000301</v>
      </c>
      <c r="S28" s="79">
        <f ca="1">R28/P28</f>
        <v>-3.8313597356431812E-2</v>
      </c>
      <c r="T28" s="13">
        <f ca="1">'2020 1P1C Bran'!C33</f>
        <v>11758.856666666667</v>
      </c>
      <c r="U28" s="13">
        <f ca="1">'2022 1P1C Bran'!C33</f>
        <v>15206.09666666667</v>
      </c>
      <c r="V28" s="211">
        <f ca="1">U28-T28</f>
        <v>3447.2400000000034</v>
      </c>
      <c r="W28" s="79">
        <f t="shared" ca="1" si="25"/>
        <v>0.29316115484016758</v>
      </c>
      <c r="X28" s="10">
        <f ca="1">'2020 1P Bran'!$C33</f>
        <v>290</v>
      </c>
      <c r="Y28" s="10">
        <f ca="1">'2022 1P Bran'!$C33</f>
        <v>299</v>
      </c>
      <c r="Z28" s="18">
        <f t="shared" ca="1" si="26"/>
        <v>9</v>
      </c>
      <c r="AA28" s="76">
        <f t="shared" ref="AA28" ca="1" si="40">Z28/X28</f>
        <v>3.1034482758620689E-2</v>
      </c>
      <c r="AB28" s="75"/>
      <c r="AC28" s="13">
        <f ca="1">'2020 2P2C Thom'!C33</f>
        <v>11755.156999999999</v>
      </c>
      <c r="AD28" s="13">
        <f ca="1">'2022 2P2C Thom'!C33</f>
        <v>10987.735000000001</v>
      </c>
      <c r="AE28" s="18">
        <f ca="1">AD28-AC28</f>
        <v>-767.42199999999866</v>
      </c>
      <c r="AF28" s="79">
        <f ca="1">AE28/AC28</f>
        <v>-6.5283857969740317E-2</v>
      </c>
      <c r="AG28" s="13">
        <f ca="1">'2020 1P1C Thom'!C33</f>
        <v>13941.863333333335</v>
      </c>
      <c r="AH28" s="13">
        <f ca="1">'2022 1P1C Thom'!C33</f>
        <v>16554.003333333334</v>
      </c>
      <c r="AI28" s="211">
        <f ca="1">AH28-AG28</f>
        <v>2612.1399999999994</v>
      </c>
      <c r="AJ28" s="79">
        <f t="shared" ca="1" si="27"/>
        <v>0.1873594610380869</v>
      </c>
      <c r="AK28" s="10">
        <f ca="1">'2020 1P Thom'!$C33</f>
        <v>290</v>
      </c>
      <c r="AL28" s="10">
        <f ca="1">'2022 1P Thom'!$C33</f>
        <v>299</v>
      </c>
      <c r="AM28" s="18">
        <f t="shared" ca="1" si="28"/>
        <v>9</v>
      </c>
      <c r="AN28" s="76">
        <f t="shared" ref="AN28" ca="1" si="41">AM28/AK28</f>
        <v>3.1034482758620689E-2</v>
      </c>
    </row>
    <row r="29" spans="1:40" x14ac:dyDescent="0.25">
      <c r="B29" s="10"/>
      <c r="C29" s="10"/>
      <c r="D29" s="10"/>
      <c r="E29" s="10"/>
      <c r="F29" s="10"/>
      <c r="G29" s="10"/>
      <c r="H29" s="10"/>
      <c r="P29" s="10"/>
      <c r="Q29" s="10"/>
      <c r="R29" s="10"/>
      <c r="T29" s="10"/>
      <c r="U29" s="10"/>
    </row>
    <row r="30" spans="1:40" x14ac:dyDescent="0.25">
      <c r="B30" s="10"/>
      <c r="C30" s="10"/>
      <c r="D30" s="10"/>
      <c r="E30" s="10"/>
      <c r="F30" s="10"/>
      <c r="G30" s="10"/>
      <c r="H30" s="10"/>
      <c r="P30" s="10"/>
      <c r="Q30" s="10"/>
      <c r="R30" s="10"/>
      <c r="T30" s="10"/>
      <c r="U30" s="10"/>
    </row>
    <row r="31" spans="1:40" x14ac:dyDescent="0.25">
      <c r="B31" s="10"/>
      <c r="C31" s="10"/>
      <c r="D31" s="10"/>
      <c r="E31" s="10"/>
      <c r="F31" s="10"/>
      <c r="H31" s="10"/>
      <c r="P31" s="10"/>
      <c r="Q31" s="10"/>
      <c r="R31" s="10"/>
      <c r="U31" s="10"/>
    </row>
    <row r="32" spans="1:40" ht="15" x14ac:dyDescent="0.25">
      <c r="A32" s="11"/>
      <c r="B32" s="10"/>
      <c r="C32" s="10"/>
      <c r="D32" s="10"/>
      <c r="E32" s="10"/>
      <c r="F32" s="10"/>
      <c r="H32" s="10"/>
      <c r="P32" s="10"/>
      <c r="Q32" s="10"/>
      <c r="R32" s="10"/>
      <c r="U32" s="10"/>
    </row>
    <row r="33" spans="1:40" ht="15.6" x14ac:dyDescent="0.3">
      <c r="A33" s="12"/>
      <c r="B33" s="10" t="s">
        <v>12</v>
      </c>
      <c r="C33" s="10" t="s">
        <v>12</v>
      </c>
      <c r="D33" s="10"/>
      <c r="E33" s="10"/>
      <c r="F33" s="10"/>
      <c r="G33" t="s">
        <v>12</v>
      </c>
      <c r="H33" s="10" t="s">
        <v>12</v>
      </c>
      <c r="P33" s="10" t="s">
        <v>12</v>
      </c>
      <c r="Q33" s="10" t="s">
        <v>12</v>
      </c>
      <c r="R33" s="10"/>
      <c r="T33" t="s">
        <v>12</v>
      </c>
      <c r="U33" s="10" t="s">
        <v>12</v>
      </c>
      <c r="AC33" s="10" t="s">
        <v>12</v>
      </c>
      <c r="AD33" s="10" t="s">
        <v>12</v>
      </c>
      <c r="AE33" s="10"/>
      <c r="AG33" t="s">
        <v>12</v>
      </c>
      <c r="AH33" s="10" t="s">
        <v>12</v>
      </c>
    </row>
    <row r="34" spans="1:40" x14ac:dyDescent="0.25">
      <c r="A34" t="s">
        <v>31</v>
      </c>
      <c r="B34" s="10">
        <f ca="1">'2020 2P2C WPG'!C39</f>
        <v>61431.459013600004</v>
      </c>
      <c r="C34" s="10">
        <f ca="1">'2022 2P2C WPG'!C39</f>
        <v>66861.428646240005</v>
      </c>
      <c r="D34" s="10"/>
      <c r="E34" s="18">
        <f ca="1">C34-B34</f>
        <v>5429.9696326400008</v>
      </c>
      <c r="F34" s="79">
        <f ca="1">E34/B34</f>
        <v>8.8390699485712793E-2</v>
      </c>
      <c r="G34" s="10">
        <f ca="1">'2020 1P1C WPG'!C39</f>
        <v>43070.830261400006</v>
      </c>
      <c r="H34" s="10">
        <f ca="1">'2022 1P1C WPG'!C39</f>
        <v>48368.533144040004</v>
      </c>
      <c r="I34" s="18">
        <f ca="1">H34-G34</f>
        <v>5297.7028826399983</v>
      </c>
      <c r="J34" s="79">
        <f ca="1">I34/G34</f>
        <v>0.12299978548098223</v>
      </c>
      <c r="K34" s="10">
        <f ca="1">'2020 1P WPG'!$C39</f>
        <v>25334.954589120003</v>
      </c>
      <c r="L34" s="10">
        <f ca="1">'2022 1P WPG'!$C39</f>
        <v>28917.252826560001</v>
      </c>
      <c r="M34" s="18">
        <f t="shared" ref="M34:M35" ca="1" si="42">L34-K34</f>
        <v>3582.298237439998</v>
      </c>
      <c r="N34" s="76">
        <f t="shared" ref="N34:N35" ca="1" si="43">M34/K34</f>
        <v>0.141397460367993</v>
      </c>
      <c r="P34" s="10">
        <f ca="1">'2020 2P2C Bran'!C39</f>
        <v>57960.277016159998</v>
      </c>
      <c r="Q34" s="10">
        <f ca="1">'2022 2P2C Bran'!C39</f>
        <v>62010.745801759993</v>
      </c>
      <c r="R34" s="18">
        <f ca="1">Q34-P34</f>
        <v>4050.4687855999946</v>
      </c>
      <c r="S34" s="79">
        <f ca="1">R34/P34</f>
        <v>6.9883530481931216E-2</v>
      </c>
      <c r="T34" s="10">
        <f ca="1">'2020 1P1C Bran'!C39</f>
        <v>38713.769906666668</v>
      </c>
      <c r="U34" s="10">
        <f ca="1">'2022 1P1C Bran'!C39</f>
        <v>43030.65288666667</v>
      </c>
      <c r="V34" s="18">
        <f ca="1">U34-T34</f>
        <v>4316.8829800000021</v>
      </c>
      <c r="W34" s="79">
        <f ca="1">V34/T34</f>
        <v>0.11150768810186625</v>
      </c>
      <c r="X34" s="10">
        <f ca="1">'2020 1P Bran'!$C39</f>
        <v>21512.020078720001</v>
      </c>
      <c r="Y34" s="10">
        <f ca="1">'2022 1P Bran'!$C39</f>
        <v>24906.854464759999</v>
      </c>
      <c r="Z34" s="18">
        <f t="shared" ref="Z34:Z35" ca="1" si="44">Y34-X34</f>
        <v>3394.8343860399982</v>
      </c>
      <c r="AA34" s="76">
        <f t="shared" ref="AA34:AA35" ca="1" si="45">Z34/X34</f>
        <v>0.15781104580681463</v>
      </c>
      <c r="AC34" s="10">
        <f ca="1">'2020 2P2C Thom'!C39</f>
        <v>59918.605765280001</v>
      </c>
      <c r="AD34" s="10">
        <f ca="1">'2022 2P2C Thom'!C39</f>
        <v>64901.668799999999</v>
      </c>
      <c r="AE34" s="18">
        <f ca="1">AD34-AC34</f>
        <v>4983.0630347199985</v>
      </c>
      <c r="AF34" s="79">
        <f ca="1">AE34/AC34</f>
        <v>8.3163868235523061E-2</v>
      </c>
      <c r="AG34" s="10">
        <f ca="1">'2020 1P1C Thom'!C39</f>
        <v>42432.925279999996</v>
      </c>
      <c r="AH34" s="10">
        <f ca="1">'2022 1P1C Thom'!C39</f>
        <v>47505.965580000004</v>
      </c>
      <c r="AI34" s="18">
        <f ca="1">AH34-AG34</f>
        <v>5073.0403000000078</v>
      </c>
      <c r="AJ34" s="79">
        <f ca="1">AI34/AG34</f>
        <v>0.11955433820611691</v>
      </c>
      <c r="AK34" s="10">
        <f ca="1">'2020 1P Thom'!$C39</f>
        <v>28696.131147520002</v>
      </c>
      <c r="AL34" s="10">
        <f ca="1">'2022 1P Thom'!$C39</f>
        <v>30444.149410680002</v>
      </c>
      <c r="AM34" s="18">
        <f t="shared" ref="AM34:AM35" ca="1" si="46">AL34-AK34</f>
        <v>1748.0182631600001</v>
      </c>
      <c r="AN34" s="76">
        <f t="shared" ref="AN34:AN35" ca="1" si="47">AM34/AK34</f>
        <v>6.0914771199429389E-2</v>
      </c>
    </row>
    <row r="35" spans="1:40" x14ac:dyDescent="0.25">
      <c r="A35" t="s">
        <v>32</v>
      </c>
      <c r="B35" s="10">
        <f>'2020 2P2C WPG'!C40</f>
        <v>61424.198324497731</v>
      </c>
      <c r="C35" s="10">
        <f>'2022 2P2C WPG'!C40</f>
        <v>66847.033325636905</v>
      </c>
      <c r="D35" s="10"/>
      <c r="E35" s="18">
        <f>C35-B35</f>
        <v>5422.835001139174</v>
      </c>
      <c r="F35" s="79">
        <f>E35/B35</f>
        <v>8.8284994335471725E-2</v>
      </c>
      <c r="G35" s="10">
        <f>'2020 1P1C WPG'!C40</f>
        <v>43064.481412946261</v>
      </c>
      <c r="H35" s="10">
        <f>'2022 1P1C WPG'!C40</f>
        <v>48361.011278629536</v>
      </c>
      <c r="I35" s="18">
        <f>H35-G35</f>
        <v>5296.5298656832747</v>
      </c>
      <c r="J35" s="79">
        <f>I35/G35</f>
        <v>0.12299068029856747</v>
      </c>
      <c r="K35" s="10">
        <f>'2020 1P WPG'!C40</f>
        <v>25329.715498097536</v>
      </c>
      <c r="L35" s="10">
        <f>'2022 1P WPG'!$C40</f>
        <v>28908.956026082935</v>
      </c>
      <c r="M35" s="18">
        <f t="shared" si="42"/>
        <v>3579.2405279853992</v>
      </c>
      <c r="N35" s="76">
        <f t="shared" si="43"/>
        <v>0.14130599012271688</v>
      </c>
      <c r="P35" s="10">
        <f>'2020 2P2C Bran'!C40</f>
        <v>57950.528823969216</v>
      </c>
      <c r="Q35" s="10">
        <f>'2022 2P2C Bran'!C40</f>
        <v>62002.671181411351</v>
      </c>
      <c r="R35" s="18">
        <f>Q35-P35</f>
        <v>4052.1423574421351</v>
      </c>
      <c r="S35" s="79">
        <f>R35/P35</f>
        <v>6.9924165312640035E-2</v>
      </c>
      <c r="T35" s="10">
        <f>'2020 1P1C Bran'!C40</f>
        <v>38710.729925168809</v>
      </c>
      <c r="U35" s="10">
        <f>'2022 1P1C Bran'!C40</f>
        <v>43030.540827869743</v>
      </c>
      <c r="V35" s="18">
        <f>U35-T35</f>
        <v>4319.8109027009341</v>
      </c>
      <c r="W35" s="79">
        <f>V35/T35</f>
        <v>0.11159208082749932</v>
      </c>
      <c r="X35" s="10">
        <f>'2020 1P Bran'!P40</f>
        <v>0</v>
      </c>
      <c r="Y35" s="10">
        <f>'2022 1P Bran'!$C40</f>
        <v>24898.932115003954</v>
      </c>
      <c r="Z35" s="18">
        <f t="shared" si="44"/>
        <v>24898.932115003954</v>
      </c>
      <c r="AA35" s="76" t="e">
        <f t="shared" si="45"/>
        <v>#DIV/0!</v>
      </c>
      <c r="AC35" s="10">
        <f>'2020 2P2C Thom'!C40</f>
        <v>59914.501430819648</v>
      </c>
      <c r="AD35" s="10">
        <f>'2022 2P2C Thom'!C40</f>
        <v>64898.754413924726</v>
      </c>
      <c r="AE35" s="18">
        <f>AD35-AC35</f>
        <v>4984.2529831050779</v>
      </c>
      <c r="AF35" s="79">
        <f>AE35/AC35</f>
        <v>8.3189425999983524E-2</v>
      </c>
      <c r="AG35" s="10">
        <f>'2020 1P1C Thom'!C40</f>
        <v>42429.989627733805</v>
      </c>
      <c r="AH35" s="10">
        <f>'2022 1P1C Thom'!C40</f>
        <v>47504.094677170113</v>
      </c>
      <c r="AI35" s="18">
        <f>AH35-AG35</f>
        <v>5074.105049436308</v>
      </c>
      <c r="AJ35" s="79">
        <f>AI35/AG35</f>
        <v>0.11958770421474924</v>
      </c>
      <c r="AK35" s="10">
        <f>'2020 1P Thom'!AC40</f>
        <v>0</v>
      </c>
      <c r="AL35" s="10">
        <f>'2022 1P Thom'!$C40</f>
        <v>30443.473731260634</v>
      </c>
      <c r="AM35" s="18">
        <f t="shared" si="46"/>
        <v>30443.473731260634</v>
      </c>
      <c r="AN35" s="76" t="e">
        <f t="shared" si="47"/>
        <v>#DIV/0!</v>
      </c>
    </row>
    <row r="36" spans="1:40" x14ac:dyDescent="0.25">
      <c r="A36" t="s">
        <v>33</v>
      </c>
      <c r="B36" s="10">
        <f ca="1">'2020 2P2C WPG'!C41</f>
        <v>7.260689102273318</v>
      </c>
      <c r="C36" s="10">
        <f ca="1">'2022 2P2C WPG'!C41</f>
        <v>14.395320603100117</v>
      </c>
      <c r="D36" s="10"/>
      <c r="E36" s="10"/>
      <c r="F36" s="10"/>
      <c r="G36" s="10">
        <f ca="1">'2020 1P1C WPG'!C41</f>
        <v>6.3488484537447221</v>
      </c>
      <c r="H36" s="10">
        <f ca="1">'2022 1P1C WPG'!C41</f>
        <v>7.5218654104683083</v>
      </c>
      <c r="P36" s="10">
        <f ca="1">'2020 2P2C Bran'!C41</f>
        <v>9.7481921907819924</v>
      </c>
      <c r="Q36" s="10">
        <f ca="1">'2022 2P2C Bran'!C41</f>
        <v>8.0746203486414743</v>
      </c>
      <c r="R36" s="10"/>
      <c r="T36" s="10">
        <f ca="1">'2020 1P1C Bran'!C41</f>
        <v>3.0399814978591166</v>
      </c>
      <c r="U36" s="10">
        <f ca="1">'2022 1P1C Bran'!C41</f>
        <v>0.11205879692715826</v>
      </c>
      <c r="AC36" s="10">
        <f ca="1">'2020 2P2C Thom'!C41</f>
        <v>4.1043344603531295</v>
      </c>
      <c r="AD36" s="10">
        <f ca="1">'2022 2P2C Thom'!C41</f>
        <v>2.9143860752737965</v>
      </c>
      <c r="AE36" s="10"/>
      <c r="AG36" s="10">
        <f ca="1">'2020 1P1C Thom'!C41</f>
        <v>2.9356522661910276</v>
      </c>
      <c r="AH36" s="10">
        <f ca="1">'2022 1P1C Thom'!C41</f>
        <v>1.8709028298908379</v>
      </c>
    </row>
    <row r="37" spans="1:40" x14ac:dyDescent="0.25">
      <c r="B37" s="10"/>
      <c r="C37" s="10"/>
      <c r="D37" s="10"/>
      <c r="E37" s="10"/>
      <c r="F37" s="10"/>
      <c r="G37" s="10"/>
      <c r="H37" s="10"/>
      <c r="P37" s="10"/>
      <c r="Q37" s="10"/>
      <c r="R37" s="10"/>
      <c r="T37" s="10"/>
      <c r="U37" s="10"/>
      <c r="AC37" s="10"/>
      <c r="AD37" s="10"/>
      <c r="AE37" s="10"/>
      <c r="AG37" s="10"/>
      <c r="AH37" s="10"/>
    </row>
    <row r="38" spans="1:40" x14ac:dyDescent="0.25">
      <c r="B38" s="10"/>
      <c r="C38" s="10"/>
      <c r="D38" s="10"/>
      <c r="E38" s="10"/>
      <c r="F38" s="10"/>
      <c r="G38" s="10"/>
      <c r="H38" s="10"/>
      <c r="P38" s="10"/>
      <c r="Q38" s="10"/>
      <c r="R38" s="10"/>
      <c r="T38" s="10"/>
      <c r="U38" s="10"/>
      <c r="AC38" s="10"/>
      <c r="AD38" s="10"/>
      <c r="AE38" s="10"/>
      <c r="AG38" s="10"/>
      <c r="AH38" s="10"/>
    </row>
    <row r="39" spans="1:40" x14ac:dyDescent="0.25">
      <c r="B39" s="10"/>
      <c r="C39" s="10"/>
      <c r="D39" s="10"/>
      <c r="E39" s="10"/>
      <c r="F39" s="10"/>
      <c r="G39" s="10"/>
      <c r="H39" s="10"/>
      <c r="P39" s="10"/>
      <c r="Q39" s="10"/>
      <c r="R39" s="10"/>
      <c r="T39" s="10"/>
      <c r="U39" s="10"/>
      <c r="AC39" s="10"/>
      <c r="AD39" s="10"/>
      <c r="AE39" s="10"/>
      <c r="AG39" s="10"/>
      <c r="AH39" s="10"/>
    </row>
    <row r="40" spans="1:40" x14ac:dyDescent="0.25">
      <c r="B40" s="10"/>
      <c r="C40" s="10"/>
      <c r="D40" s="10"/>
      <c r="E40" s="10"/>
      <c r="F40" s="10"/>
      <c r="G40" s="10"/>
      <c r="H40" s="10"/>
      <c r="P40" s="10"/>
      <c r="Q40" s="10"/>
      <c r="R40" s="10"/>
      <c r="T40" s="10"/>
      <c r="U40" s="10"/>
      <c r="AC40" s="10"/>
      <c r="AD40" s="10"/>
      <c r="AE40" s="10"/>
      <c r="AG40" s="10"/>
      <c r="AH40" s="10"/>
    </row>
    <row r="41" spans="1:40" x14ac:dyDescent="0.25">
      <c r="A41" s="1"/>
      <c r="B41" s="10" t="s">
        <v>25</v>
      </c>
      <c r="C41" s="10" t="s">
        <v>25</v>
      </c>
      <c r="D41" s="10"/>
      <c r="E41" s="10"/>
      <c r="F41" s="10"/>
      <c r="G41" s="10" t="s">
        <v>34</v>
      </c>
      <c r="H41" s="10" t="s">
        <v>34</v>
      </c>
      <c r="K41" s="10" t="str">
        <f>'2020 1P WPG'!B46</f>
        <v>Individual 1</v>
      </c>
      <c r="L41" s="10" t="str">
        <f>'2022 1P WPG'!B46</f>
        <v>Individual 1</v>
      </c>
      <c r="P41" s="10" t="s">
        <v>25</v>
      </c>
      <c r="Q41" s="10" t="s">
        <v>25</v>
      </c>
      <c r="R41" s="10"/>
      <c r="T41" s="10" t="s">
        <v>34</v>
      </c>
      <c r="U41" s="10" t="s">
        <v>34</v>
      </c>
      <c r="X41" t="str">
        <f>'2020 1P Bran'!$B46</f>
        <v>Individual 1</v>
      </c>
      <c r="Y41" t="str">
        <f>'2022 1P Bran'!$B46</f>
        <v>Individual 1</v>
      </c>
      <c r="AC41" s="10" t="s">
        <v>25</v>
      </c>
      <c r="AD41" s="10" t="s">
        <v>25</v>
      </c>
      <c r="AE41" s="10"/>
      <c r="AG41" s="10" t="s">
        <v>34</v>
      </c>
      <c r="AH41" s="10" t="s">
        <v>34</v>
      </c>
      <c r="AK41" t="str">
        <f>'2020 1P Thom'!$B46</f>
        <v>Individual 1</v>
      </c>
      <c r="AL41" t="str">
        <f>'2022 1P Thom'!$B46</f>
        <v>Individual 1</v>
      </c>
    </row>
    <row r="42" spans="1:40" x14ac:dyDescent="0.25">
      <c r="A42" t="s">
        <v>35</v>
      </c>
      <c r="B42">
        <v>70</v>
      </c>
      <c r="C42">
        <v>70</v>
      </c>
      <c r="G42">
        <v>35</v>
      </c>
      <c r="H42">
        <v>35</v>
      </c>
      <c r="K42">
        <f>'2020 1P WPG'!$B47</f>
        <v>35</v>
      </c>
      <c r="L42">
        <f>'2022 1P WPG'!$B47</f>
        <v>35</v>
      </c>
      <c r="P42">
        <v>70</v>
      </c>
      <c r="Q42">
        <v>70</v>
      </c>
      <c r="T42">
        <v>35</v>
      </c>
      <c r="U42">
        <v>35</v>
      </c>
      <c r="X42">
        <f>'2020 1P Bran'!$B47</f>
        <v>35</v>
      </c>
      <c r="Y42">
        <f>'2022 1P Bran'!$B47</f>
        <v>35</v>
      </c>
      <c r="AC42">
        <v>70</v>
      </c>
      <c r="AD42">
        <v>70</v>
      </c>
      <c r="AG42">
        <v>35</v>
      </c>
      <c r="AH42">
        <v>35</v>
      </c>
      <c r="AK42">
        <f>'2020 1P Thom'!$B47</f>
        <v>35</v>
      </c>
      <c r="AL42">
        <f>'2022 1P Thom'!$B47</f>
        <v>35</v>
      </c>
    </row>
    <row r="43" spans="1:40" s="2" customFormat="1" x14ac:dyDescent="0.25">
      <c r="A43" s="14" t="s">
        <v>36</v>
      </c>
      <c r="B43" s="15">
        <f>'2020 2P2C WPG'!$B$48</f>
        <v>16.149999999999999</v>
      </c>
      <c r="C43" s="15">
        <f>'2022 2P2C WPG'!$B$48</f>
        <v>18.34</v>
      </c>
      <c r="D43" s="15"/>
      <c r="E43" s="18">
        <f>C43-B43</f>
        <v>2.1900000000000013</v>
      </c>
      <c r="F43" s="76">
        <f>E43/B43</f>
        <v>0.13560371517027872</v>
      </c>
      <c r="G43" s="15">
        <f>'2020 1P1C WPG'!$B$48</f>
        <v>21.2</v>
      </c>
      <c r="H43" s="15">
        <f>'2022 1P1C WPG'!B48</f>
        <v>25.28</v>
      </c>
      <c r="I43" s="18">
        <f>H43-G43</f>
        <v>4.0800000000000018</v>
      </c>
      <c r="J43" s="76">
        <f>I43/G43</f>
        <v>0.19245283018867934</v>
      </c>
      <c r="K43" s="10">
        <f>'2020 1P WPG'!B48</f>
        <v>16.41</v>
      </c>
      <c r="L43" s="10">
        <f>'2022 1P WPG'!$B48</f>
        <v>18.920000000000002</v>
      </c>
      <c r="M43" s="18">
        <f>L43-K43</f>
        <v>2.5100000000000016</v>
      </c>
      <c r="N43" s="76">
        <f>M43/K43</f>
        <v>0.15295551492992088</v>
      </c>
      <c r="O43" s="75"/>
      <c r="P43" s="15">
        <f>'2020 2P2C Bran'!C48</f>
        <v>14.19</v>
      </c>
      <c r="Q43" s="15">
        <f>'2022 2P2C Bran'!C48</f>
        <v>15.66</v>
      </c>
      <c r="R43" s="18">
        <f>Q43-P43</f>
        <v>1.4700000000000006</v>
      </c>
      <c r="S43" s="76">
        <f>R43/P43</f>
        <v>0.10359408033826643</v>
      </c>
      <c r="T43" s="15">
        <f>'2020 1P1C Bran'!B48</f>
        <v>14.44</v>
      </c>
      <c r="U43" s="15">
        <f>'2022 1P1C Bran'!B48</f>
        <v>14.18</v>
      </c>
      <c r="V43" s="18">
        <f>U43-T43</f>
        <v>-0.25999999999999979</v>
      </c>
      <c r="W43" s="76">
        <f>V43/T43</f>
        <v>-1.800554016620497E-2</v>
      </c>
      <c r="X43" s="13">
        <f>'2020 1P Bran'!$B48</f>
        <v>13.21</v>
      </c>
      <c r="Y43" s="13">
        <f>'2022 1P Bran'!$B48</f>
        <v>15.07</v>
      </c>
      <c r="Z43" s="18">
        <f>Y43-X43</f>
        <v>1.8599999999999994</v>
      </c>
      <c r="AA43" s="76">
        <f>Z43/X43</f>
        <v>0.14080242240726717</v>
      </c>
      <c r="AB43" s="75"/>
      <c r="AC43" s="15">
        <f>'2020 2P2C Thom'!C48</f>
        <v>14.27</v>
      </c>
      <c r="AD43" s="15">
        <f>'2022 2P2C Thom'!C48</f>
        <v>16.25</v>
      </c>
      <c r="AE43" s="18">
        <f>AD43-AC43</f>
        <v>1.9800000000000004</v>
      </c>
      <c r="AF43" s="76">
        <f>AE43/AC43</f>
        <v>0.13875262789067977</v>
      </c>
      <c r="AG43" s="15">
        <f>'2020 1P1C Thom'!B48</f>
        <v>14.93</v>
      </c>
      <c r="AH43" s="15">
        <f>'2022 1P1C Thom'!B48</f>
        <v>15.77</v>
      </c>
      <c r="AI43" s="18">
        <f>AH43-AG43</f>
        <v>0.83999999999999986</v>
      </c>
      <c r="AJ43" s="76">
        <f>AI43/AG43</f>
        <v>5.6262558606831874E-2</v>
      </c>
      <c r="AK43" s="10">
        <f>'2020 1P Thom'!AB48</f>
        <v>0</v>
      </c>
      <c r="AL43" s="10">
        <f>'2022 1P Thom'!$B48</f>
        <v>20.010000000000002</v>
      </c>
      <c r="AM43" s="18">
        <f>AL43-AK43</f>
        <v>20.010000000000002</v>
      </c>
      <c r="AN43" s="76" t="e">
        <f>AM43/AK43</f>
        <v>#DIV/0!</v>
      </c>
    </row>
    <row r="44" spans="1:40" x14ac:dyDescent="0.25">
      <c r="A44" s="2"/>
      <c r="B44" s="10"/>
      <c r="C44" s="10"/>
      <c r="D44" s="10"/>
      <c r="E44" s="10"/>
      <c r="F44" s="10"/>
      <c r="G44" s="10"/>
      <c r="H44" s="10"/>
      <c r="K44" s="10"/>
      <c r="L44" s="10"/>
      <c r="M44" s="18"/>
      <c r="N44" s="76"/>
      <c r="P44" s="10"/>
      <c r="Q44" s="10"/>
      <c r="R44" s="10"/>
      <c r="T44" s="10"/>
      <c r="U44" s="10"/>
      <c r="X44" s="10"/>
      <c r="Y44" s="10"/>
      <c r="Z44" s="18"/>
      <c r="AA44" s="76"/>
      <c r="AC44" s="10"/>
      <c r="AD44" s="10"/>
      <c r="AE44" s="10"/>
      <c r="AG44" s="10"/>
      <c r="AH44" s="10"/>
      <c r="AK44" s="10"/>
      <c r="AL44" s="10"/>
      <c r="AM44" s="18"/>
      <c r="AN44" s="76"/>
    </row>
    <row r="45" spans="1:40" x14ac:dyDescent="0.25">
      <c r="A45" t="s">
        <v>37</v>
      </c>
      <c r="B45" s="10">
        <f>'2020 2P2C WPG'!D50</f>
        <v>58786</v>
      </c>
      <c r="C45" s="10">
        <f>'2022 2P2C WPG'!D50</f>
        <v>66757.599999999991</v>
      </c>
      <c r="D45" s="10"/>
      <c r="E45" s="18">
        <f t="shared" ref="E45:E53" si="48">C45-B45</f>
        <v>7971.5999999999913</v>
      </c>
      <c r="F45" s="76">
        <f t="shared" ref="F45:F53" si="49">E45/B45</f>
        <v>0.1356037151702785</v>
      </c>
      <c r="G45" s="10">
        <f>'2020 1P1C WPG'!B50</f>
        <v>38584</v>
      </c>
      <c r="H45" s="10">
        <f>'2022 1P1C WPG'!B50</f>
        <v>46009.600000000006</v>
      </c>
      <c r="I45" s="18">
        <f t="shared" ref="I45:I53" si="50">H45-G45</f>
        <v>7425.6000000000058</v>
      </c>
      <c r="J45" s="76">
        <f>I45/G45</f>
        <v>0.1924528301886794</v>
      </c>
      <c r="K45" s="10">
        <f>'2020 1P WPG'!$B50</f>
        <v>29866.2</v>
      </c>
      <c r="L45" s="10">
        <f>'2022 1P WPG'!$B50</f>
        <v>34434.400000000001</v>
      </c>
      <c r="M45" s="18">
        <f t="shared" ref="M45:M53" si="51">L45-K45</f>
        <v>4568.2000000000007</v>
      </c>
      <c r="N45" s="76">
        <f t="shared" ref="N45:N53" si="52">M45/K45</f>
        <v>0.15295551492992079</v>
      </c>
      <c r="P45" s="10">
        <f>'2020 2P2C Bran'!D50</f>
        <v>51651.6</v>
      </c>
      <c r="Q45" s="10">
        <f>'2022 2P2C Bran'!D50</f>
        <v>57002.400000000001</v>
      </c>
      <c r="R45" s="18">
        <f t="shared" ref="R45:R53" si="53">Q45-P45</f>
        <v>5350.8000000000029</v>
      </c>
      <c r="S45" s="76">
        <f>R45/P45</f>
        <v>0.10359408033826645</v>
      </c>
      <c r="T45" s="10">
        <f>'2020 1P1C Bran'!B50</f>
        <v>26280.799999999999</v>
      </c>
      <c r="U45" s="10">
        <f>'2022 1P1C Bran'!B50</f>
        <v>25807.600000000002</v>
      </c>
      <c r="V45" s="18">
        <f t="shared" ref="V45:V53" si="54">U45-T45</f>
        <v>-473.19999999999709</v>
      </c>
      <c r="W45" s="76">
        <f>V45/T45</f>
        <v>-1.8005540166204877E-2</v>
      </c>
      <c r="X45" s="10">
        <f>'2020 1P Bran'!$B50</f>
        <v>24042.2</v>
      </c>
      <c r="Y45" s="10">
        <f>'2022 1P Bran'!$B50</f>
        <v>27427.4</v>
      </c>
      <c r="Z45" s="18">
        <f t="shared" ref="Z45:Z53" si="55">Y45-X45</f>
        <v>3385.2000000000007</v>
      </c>
      <c r="AA45" s="76">
        <f t="shared" ref="AA45" si="56">Z45/X45</f>
        <v>0.14080242240726726</v>
      </c>
      <c r="AC45" s="10">
        <f>'2020 2P2C Thom'!D50</f>
        <v>51942.799999999996</v>
      </c>
      <c r="AD45" s="10">
        <f>'2022 2P2C Thom'!D50</f>
        <v>59150</v>
      </c>
      <c r="AE45" s="18">
        <f t="shared" ref="AE45:AE53" si="57">AD45-AC45</f>
        <v>7207.2000000000044</v>
      </c>
      <c r="AF45" s="76">
        <f>AE45/AC45</f>
        <v>0.13875262789067985</v>
      </c>
      <c r="AG45" s="10">
        <f>'2020 1P1C Thom'!B50</f>
        <v>27172.6</v>
      </c>
      <c r="AH45" s="10">
        <f>'2022 1P1C Thom'!B50</f>
        <v>28701.399999999998</v>
      </c>
      <c r="AI45" s="18">
        <f t="shared" ref="AI45:AI53" si="58">AH45-AG45</f>
        <v>1528.7999999999993</v>
      </c>
      <c r="AJ45" s="76">
        <f>AI45/AG45</f>
        <v>5.626255860683186E-2</v>
      </c>
      <c r="AK45" s="10">
        <f>'2020 1P Thom'!$B50</f>
        <v>34325.200000000004</v>
      </c>
      <c r="AL45" s="10">
        <f>'2022 1P Thom'!$B50</f>
        <v>36418.200000000004</v>
      </c>
      <c r="AM45" s="18">
        <f t="shared" ref="AM45:AM53" si="59">AL45-AK45</f>
        <v>2093</v>
      </c>
      <c r="AN45" s="76">
        <f t="shared" ref="AN45" si="60">AM45/AK45</f>
        <v>6.0975609756097553E-2</v>
      </c>
    </row>
    <row r="46" spans="1:40" x14ac:dyDescent="0.25">
      <c r="A46" t="s">
        <v>38</v>
      </c>
      <c r="B46" s="10">
        <f ca="1">'2020 2P2C WPG'!D51</f>
        <v>-7590</v>
      </c>
      <c r="C46" s="10">
        <f ca="1">'2022 2P2C WPG'!D51</f>
        <v>-7618</v>
      </c>
      <c r="D46" s="10"/>
      <c r="E46" s="18">
        <f t="shared" ca="1" si="48"/>
        <v>-28</v>
      </c>
      <c r="F46" s="76">
        <f t="shared" ca="1" si="49"/>
        <v>3.6890645586297758E-3</v>
      </c>
      <c r="G46" s="10">
        <f ca="1">'2020 1P1C WPG'!B51</f>
        <v>-6114.55</v>
      </c>
      <c r="H46" s="10">
        <f ca="1">'2022 1P1C WPG'!B51</f>
        <v>-6141.85</v>
      </c>
      <c r="I46" s="18">
        <f t="shared" ca="1" si="50"/>
        <v>-27.300000000000182</v>
      </c>
      <c r="J46" s="76">
        <f t="shared" ref="J46:J53" ca="1" si="61">I46/G46</f>
        <v>4.4647602848942574E-3</v>
      </c>
      <c r="K46" s="10">
        <f ca="1">'2020 1P WPG'!$B51</f>
        <v>0</v>
      </c>
      <c r="L46" s="10">
        <f ca="1">'2022 1P WPG'!$B51</f>
        <v>0</v>
      </c>
      <c r="M46" s="18">
        <f t="shared" ca="1" si="51"/>
        <v>0</v>
      </c>
      <c r="N46" s="76"/>
      <c r="P46" s="10">
        <f ca="1">'2020 2P2C Bran'!D51</f>
        <v>-7590</v>
      </c>
      <c r="Q46" s="10">
        <f ca="1">'2022 2P2C Bran'!D51</f>
        <v>-7618</v>
      </c>
      <c r="R46" s="18">
        <f t="shared" ca="1" si="53"/>
        <v>-28</v>
      </c>
      <c r="S46" s="76">
        <f t="shared" ref="S46:S53" ca="1" si="62">R46/P46</f>
        <v>3.6890645586297758E-3</v>
      </c>
      <c r="T46" s="10">
        <f ca="1">'2020 1P1C Bran'!B51</f>
        <v>-5964.9333333333343</v>
      </c>
      <c r="U46" s="10">
        <f ca="1">'2022 1P1C Bran'!B51</f>
        <v>-4549.5333333333328</v>
      </c>
      <c r="V46" s="18">
        <f t="shared" ca="1" si="54"/>
        <v>1415.4000000000015</v>
      </c>
      <c r="W46" s="76">
        <f t="shared" ref="W46:W53" ca="1" si="63">V46/T46</f>
        <v>-0.2372868095759664</v>
      </c>
      <c r="X46" s="10">
        <f ca="1">'2020 1P Bran'!$B51</f>
        <v>0</v>
      </c>
      <c r="Y46" s="10">
        <f ca="1">'2022 1P Bran'!$B51</f>
        <v>0</v>
      </c>
      <c r="Z46" s="18">
        <f t="shared" ca="1" si="55"/>
        <v>0</v>
      </c>
      <c r="AA46" s="76"/>
      <c r="AC46" s="10">
        <f ca="1">'2020 2P2C Thom'!D51</f>
        <v>-11605</v>
      </c>
      <c r="AD46" s="10">
        <f ca="1">'2022 2P2C Thom'!D51</f>
        <v>-11633</v>
      </c>
      <c r="AE46" s="18">
        <f t="shared" ca="1" si="57"/>
        <v>-28</v>
      </c>
      <c r="AF46" s="76">
        <f t="shared" ref="AF46:AF53" ca="1" si="64">AE46/AC46</f>
        <v>2.4127531236535975E-3</v>
      </c>
      <c r="AG46" s="10">
        <f ca="1">'2020 1P1C Thom'!B51</f>
        <v>-8199.8666666666668</v>
      </c>
      <c r="AH46" s="10">
        <f ca="1">'2022 1P1C Thom'!B51</f>
        <v>-7119.4666666666672</v>
      </c>
      <c r="AI46" s="18">
        <f t="shared" ca="1" si="58"/>
        <v>1080.3999999999996</v>
      </c>
      <c r="AJ46" s="76">
        <f t="shared" ref="AJ46:AJ53" ca="1" si="65">AI46/AG46</f>
        <v>-0.13175823997138161</v>
      </c>
      <c r="AK46" s="10">
        <f ca="1">'2020 1P Thom'!$B51</f>
        <v>-2007.5</v>
      </c>
      <c r="AL46" s="10">
        <f ca="1">'2022 1P Thom'!$B51</f>
        <v>-2007.5</v>
      </c>
      <c r="AM46" s="18">
        <f t="shared" ca="1" si="59"/>
        <v>0</v>
      </c>
      <c r="AN46" s="76"/>
    </row>
    <row r="47" spans="1:40" x14ac:dyDescent="0.25">
      <c r="A47" t="s">
        <v>39</v>
      </c>
      <c r="B47" s="10">
        <f ca="1">'2020 2P2C WPG'!D52</f>
        <v>51196</v>
      </c>
      <c r="C47" s="10">
        <f ca="1">'2022 2P2C WPG'!D52</f>
        <v>59139.599999999991</v>
      </c>
      <c r="D47" s="10"/>
      <c r="E47" s="18">
        <f t="shared" ca="1" si="48"/>
        <v>7943.5999999999913</v>
      </c>
      <c r="F47" s="76">
        <f t="shared" ca="1" si="49"/>
        <v>0.15516055941870441</v>
      </c>
      <c r="G47" s="10">
        <f ca="1">'2020 1P1C WPG'!B52</f>
        <v>32469.45</v>
      </c>
      <c r="H47" s="10">
        <f ca="1">'2022 1P1C WPG'!B52</f>
        <v>39867.750000000007</v>
      </c>
      <c r="I47" s="18">
        <f t="shared" ca="1" si="50"/>
        <v>7398.3000000000065</v>
      </c>
      <c r="J47" s="76">
        <f t="shared" ca="1" si="61"/>
        <v>0.22785418293195622</v>
      </c>
      <c r="K47" s="10">
        <f ca="1">'2020 1P WPG'!$B52</f>
        <v>29866.2</v>
      </c>
      <c r="L47" s="10">
        <f ca="1">'2022 1P WPG'!$B52</f>
        <v>34434.400000000001</v>
      </c>
      <c r="M47" s="18">
        <f t="shared" ca="1" si="51"/>
        <v>4568.2000000000007</v>
      </c>
      <c r="N47" s="76">
        <f t="shared" ca="1" si="52"/>
        <v>0.15295551492992079</v>
      </c>
      <c r="P47" s="10">
        <f ca="1">'2020 2P2C Bran'!D52</f>
        <v>44061.599999999999</v>
      </c>
      <c r="Q47" s="10">
        <f ca="1">'2022 2P2C Bran'!D52</f>
        <v>49384.4</v>
      </c>
      <c r="R47" s="18">
        <f t="shared" ca="1" si="53"/>
        <v>5322.8000000000029</v>
      </c>
      <c r="S47" s="76">
        <f t="shared" ca="1" si="62"/>
        <v>0.1208036022296059</v>
      </c>
      <c r="T47" s="10">
        <f ca="1">'2020 1P1C Bran'!B52</f>
        <v>20315.866666666665</v>
      </c>
      <c r="U47" s="10">
        <f ca="1">'2022 1P1C Bran'!B52</f>
        <v>21258.066666666669</v>
      </c>
      <c r="V47" s="18">
        <f t="shared" ca="1" si="54"/>
        <v>942.20000000000437</v>
      </c>
      <c r="W47" s="76">
        <f t="shared" ca="1" si="63"/>
        <v>4.6377543988606822E-2</v>
      </c>
      <c r="X47" s="10">
        <f ca="1">'2020 1P Bran'!$B52</f>
        <v>24042.2</v>
      </c>
      <c r="Y47" s="10">
        <f ca="1">'2022 1P Bran'!$B52</f>
        <v>27427.4</v>
      </c>
      <c r="Z47" s="18">
        <f t="shared" ca="1" si="55"/>
        <v>3385.2000000000007</v>
      </c>
      <c r="AA47" s="76">
        <f t="shared" ref="AA47:AA53" ca="1" si="66">Z47/X47</f>
        <v>0.14080242240726726</v>
      </c>
      <c r="AC47" s="10">
        <f ca="1">'2020 2P2C Thom'!D52</f>
        <v>40337.799999999996</v>
      </c>
      <c r="AD47" s="10">
        <f ca="1">'2022 2P2C Thom'!D52</f>
        <v>47517</v>
      </c>
      <c r="AE47" s="18">
        <f t="shared" ca="1" si="57"/>
        <v>7179.2000000000044</v>
      </c>
      <c r="AF47" s="76">
        <f t="shared" ca="1" si="64"/>
        <v>0.17797698436702064</v>
      </c>
      <c r="AG47" s="10">
        <f ca="1">'2020 1P1C Thom'!B52</f>
        <v>18972.73333333333</v>
      </c>
      <c r="AH47" s="10">
        <f ca="1">'2022 1P1C Thom'!B52</f>
        <v>21581.933333333331</v>
      </c>
      <c r="AI47" s="18">
        <f t="shared" ca="1" si="58"/>
        <v>2609.2000000000007</v>
      </c>
      <c r="AJ47" s="76">
        <f t="shared" ca="1" si="65"/>
        <v>0.13752367432561119</v>
      </c>
      <c r="AK47" s="10">
        <f ca="1">'2020 1P Thom'!$B52</f>
        <v>32317.700000000004</v>
      </c>
      <c r="AL47" s="10">
        <f ca="1">'2022 1P Thom'!$B52</f>
        <v>34410.700000000004</v>
      </c>
      <c r="AM47" s="18">
        <f t="shared" ca="1" si="59"/>
        <v>2093</v>
      </c>
      <c r="AN47" s="76">
        <f t="shared" ref="AN47:AN53" ca="1" si="67">AM47/AK47</f>
        <v>6.4763272138796998E-2</v>
      </c>
    </row>
    <row r="48" spans="1:40" x14ac:dyDescent="0.25">
      <c r="A48" t="s">
        <v>40</v>
      </c>
      <c r="B48" s="10">
        <f>'2020 2P2C WPG'!D53</f>
        <v>952.33319999999992</v>
      </c>
      <c r="C48" s="10">
        <f>'2022 2P2C WPG'!D53</f>
        <v>1054.77008</v>
      </c>
      <c r="D48" s="10"/>
      <c r="E48" s="18">
        <f t="shared" si="48"/>
        <v>102.43688000000009</v>
      </c>
      <c r="F48" s="76">
        <f t="shared" si="49"/>
        <v>0.10756411726483976</v>
      </c>
      <c r="G48" s="10">
        <f>'2020 1P1C WPG'!B53</f>
        <v>625.06079999999997</v>
      </c>
      <c r="H48" s="10">
        <f>'2022 1P1C WPG'!B53</f>
        <v>726.95168000000012</v>
      </c>
      <c r="I48" s="18">
        <f t="shared" si="50"/>
        <v>101.89088000000015</v>
      </c>
      <c r="J48" s="76">
        <f t="shared" si="61"/>
        <v>0.16300955043093432</v>
      </c>
      <c r="K48" s="10">
        <f>'2020 1P WPG'!$B53</f>
        <v>483.83243999999996</v>
      </c>
      <c r="L48" s="10">
        <f>'2022 1P WPG'!$B53</f>
        <v>544.06352000000004</v>
      </c>
      <c r="M48" s="18">
        <f t="shared" si="51"/>
        <v>60.231080000000077</v>
      </c>
      <c r="N48" s="76">
        <f t="shared" si="52"/>
        <v>0.1244874775242439</v>
      </c>
      <c r="P48" s="10">
        <f>'2020 2P2C Bran'!D53</f>
        <v>836.75591999999995</v>
      </c>
      <c r="Q48" s="10">
        <f>'2022 2P2C Bran'!D53</f>
        <v>900.63792000000012</v>
      </c>
      <c r="R48" s="18">
        <f t="shared" si="53"/>
        <v>63.882000000000176</v>
      </c>
      <c r="S48" s="76">
        <f t="shared" si="62"/>
        <v>7.6344843786704461E-2</v>
      </c>
      <c r="T48" s="10">
        <f>'2020 1P1C Bran'!B53</f>
        <v>425.74895999999995</v>
      </c>
      <c r="U48" s="10">
        <f>'2022 1P1C Bran'!B53</f>
        <v>407.76008000000007</v>
      </c>
      <c r="V48" s="18">
        <f t="shared" si="54"/>
        <v>-17.988879999999881</v>
      </c>
      <c r="W48" s="76">
        <f t="shared" si="63"/>
        <v>-4.2252316952224339E-2</v>
      </c>
      <c r="X48" s="10">
        <f>'2020 1P Bran'!$B53</f>
        <v>389.48363999999998</v>
      </c>
      <c r="Y48" s="10">
        <f>'2022 1P Bran'!$B53</f>
        <v>433.35292000000004</v>
      </c>
      <c r="Z48" s="18">
        <f t="shared" si="55"/>
        <v>43.86928000000006</v>
      </c>
      <c r="AA48" s="76">
        <f t="shared" si="66"/>
        <v>0.11263446136017437</v>
      </c>
      <c r="AC48" s="10">
        <f>'2020 2P2C Thom'!D53</f>
        <v>841.47335999999984</v>
      </c>
      <c r="AD48" s="10">
        <f>'2022 2P2C Thom'!D53</f>
        <v>934.57</v>
      </c>
      <c r="AE48" s="18">
        <f t="shared" si="57"/>
        <v>93.096640000000207</v>
      </c>
      <c r="AF48" s="76">
        <f t="shared" si="64"/>
        <v>0.1106352790538731</v>
      </c>
      <c r="AG48" s="10">
        <f>'2020 1P1C Thom'!B53</f>
        <v>440.19611999999995</v>
      </c>
      <c r="AH48" s="10">
        <f>'2022 1P1C Thom'!B53</f>
        <v>453.48212000000001</v>
      </c>
      <c r="AI48" s="18">
        <f t="shared" si="58"/>
        <v>13.286000000000058</v>
      </c>
      <c r="AJ48" s="76">
        <f t="shared" si="65"/>
        <v>3.0182001604194195E-2</v>
      </c>
      <c r="AK48" s="10">
        <f>'2020 1P Thom'!$B53</f>
        <v>556.06824000000006</v>
      </c>
      <c r="AL48" s="10">
        <f>'2022 1P Thom'!$B53</f>
        <v>575.4075600000001</v>
      </c>
      <c r="AM48" s="18">
        <f t="shared" si="59"/>
        <v>19.339320000000043</v>
      </c>
      <c r="AN48" s="76">
        <f t="shared" si="67"/>
        <v>3.4778681120144608E-2</v>
      </c>
    </row>
    <row r="49" spans="1:40" x14ac:dyDescent="0.25">
      <c r="A49" t="s">
        <v>41</v>
      </c>
      <c r="B49" s="10">
        <f>'2020 2P2C WPG'!D54</f>
        <v>2641.0859999999998</v>
      </c>
      <c r="C49" s="10">
        <f>'2022 2P2C WPG'!D54</f>
        <v>3256.7891999999997</v>
      </c>
      <c r="D49" s="10"/>
      <c r="E49" s="18">
        <f t="shared" si="48"/>
        <v>615.70319999999992</v>
      </c>
      <c r="F49" s="76">
        <f t="shared" si="49"/>
        <v>0.23312500993909321</v>
      </c>
      <c r="G49" s="10">
        <f>'2020 1P1C WPG'!B54</f>
        <v>1789.2839999999999</v>
      </c>
      <c r="H49" s="10">
        <f>'2022 1P1C WPG'!B54</f>
        <v>2316.7732000000001</v>
      </c>
      <c r="I49" s="18">
        <f t="shared" si="50"/>
        <v>527.48920000000021</v>
      </c>
      <c r="J49" s="76">
        <f t="shared" si="61"/>
        <v>0.29480462576091904</v>
      </c>
      <c r="K49" s="10">
        <f>'2020 1P WPG'!$B54</f>
        <v>1344.6761999999999</v>
      </c>
      <c r="L49" s="10">
        <f>'2022 1P WPG'!$B54</f>
        <v>1685.9248</v>
      </c>
      <c r="M49" s="18">
        <f t="shared" si="51"/>
        <v>341.24860000000012</v>
      </c>
      <c r="N49" s="76">
        <f t="shared" si="52"/>
        <v>0.25377752651530544</v>
      </c>
      <c r="P49" s="10">
        <f>'2020 2P2C Bran'!D54</f>
        <v>2277.2315999999996</v>
      </c>
      <c r="Q49" s="10">
        <f>'2022 2P2C Bran'!D54</f>
        <v>2725.1307999999999</v>
      </c>
      <c r="R49" s="18">
        <f t="shared" si="53"/>
        <v>447.89920000000029</v>
      </c>
      <c r="S49" s="76">
        <f t="shared" si="62"/>
        <v>0.19668583555576885</v>
      </c>
      <c r="T49" s="10">
        <f>'2020 1P1C Bran'!B54</f>
        <v>1161.8208</v>
      </c>
      <c r="U49" s="10">
        <f>'2022 1P1C Bran'!B54</f>
        <v>1215.7642000000001</v>
      </c>
      <c r="V49" s="18">
        <f t="shared" si="54"/>
        <v>53.943400000000111</v>
      </c>
      <c r="W49" s="76">
        <f t="shared" si="63"/>
        <v>4.6430051863419995E-2</v>
      </c>
      <c r="X49" s="10">
        <f>'2020 1P Bran'!$B54</f>
        <v>1047.6522</v>
      </c>
      <c r="Y49" s="10">
        <f>'2022 1P Bran'!$B54</f>
        <v>1304.0433</v>
      </c>
      <c r="Z49" s="18">
        <f t="shared" si="55"/>
        <v>256.39110000000005</v>
      </c>
      <c r="AA49" s="76">
        <f t="shared" si="66"/>
        <v>0.24472921452367499</v>
      </c>
      <c r="AC49" s="10">
        <f>'2020 2P2C Thom'!D54</f>
        <v>2292.0827999999997</v>
      </c>
      <c r="AD49" s="10">
        <f>'2022 2P2C Thom'!D54</f>
        <v>2842.1750000000002</v>
      </c>
      <c r="AE49" s="18">
        <f t="shared" si="57"/>
        <v>550.0922000000005</v>
      </c>
      <c r="AF49" s="76">
        <f t="shared" si="64"/>
        <v>0.23999665282598018</v>
      </c>
      <c r="AG49" s="10">
        <f>'2020 1P1C Thom'!B54</f>
        <v>1207.3025999999998</v>
      </c>
      <c r="AH49" s="10">
        <f>'2022 1P1C Thom'!B54</f>
        <v>1373.4762999999998</v>
      </c>
      <c r="AI49" s="18">
        <f t="shared" si="58"/>
        <v>166.17370000000005</v>
      </c>
      <c r="AJ49" s="76">
        <f t="shared" si="65"/>
        <v>0.13764047223951981</v>
      </c>
      <c r="AK49" s="10">
        <f>'2020 1P Thom'!$B54</f>
        <v>1572.0852000000002</v>
      </c>
      <c r="AL49" s="10">
        <f>'2022 1P Thom'!$B54</f>
        <v>1794.0419000000002</v>
      </c>
      <c r="AM49" s="18">
        <f t="shared" si="59"/>
        <v>221.95669999999996</v>
      </c>
      <c r="AN49" s="76">
        <f t="shared" si="67"/>
        <v>0.14118617744127349</v>
      </c>
    </row>
    <row r="50" spans="1:40" x14ac:dyDescent="0.25">
      <c r="A50" t="s">
        <v>42</v>
      </c>
      <c r="B50" s="10">
        <f ca="1">'2020 2P2C WPG'!D55</f>
        <v>2139.5806200000002</v>
      </c>
      <c r="C50" s="10">
        <f ca="1">'2022 2P2C WPG'!D55</f>
        <v>2216.2087079999974</v>
      </c>
      <c r="D50" s="10"/>
      <c r="E50" s="18">
        <f t="shared" ca="1" si="48"/>
        <v>76.628087999997206</v>
      </c>
      <c r="F50" s="76">
        <f t="shared" ca="1" si="49"/>
        <v>3.5814536401996951E-2</v>
      </c>
      <c r="G50" s="10">
        <f ca="1">'2020 1P1C WPG'!B55</f>
        <v>326.71830499999942</v>
      </c>
      <c r="H50" s="10">
        <f ca="1">'2022 1P1C WPG'!B55</f>
        <v>411.41326800000206</v>
      </c>
      <c r="I50" s="18">
        <f t="shared" ca="1" si="50"/>
        <v>84.694963000002645</v>
      </c>
      <c r="J50" s="76">
        <f t="shared" ca="1" si="61"/>
        <v>0.25922931682693073</v>
      </c>
      <c r="K50" s="10">
        <f ca="1">'2020 1P WPG'!$B55</f>
        <v>1969.0037040000002</v>
      </c>
      <c r="L50" s="10">
        <f ca="1">'2022 1P WPG'!$B55</f>
        <v>1969.6712519999996</v>
      </c>
      <c r="M50" s="18">
        <f t="shared" ca="1" si="51"/>
        <v>0.66754799999944225</v>
      </c>
      <c r="N50" s="76">
        <f t="shared" ca="1" si="52"/>
        <v>3.3902831093884125E-4</v>
      </c>
      <c r="P50" s="10">
        <f ca="1">'2020 2P2C Bran'!D55</f>
        <v>1076.6829720000005</v>
      </c>
      <c r="Q50" s="10">
        <f ca="1">'2022 2P2C Bran'!D55</f>
        <v>761.84809200000063</v>
      </c>
      <c r="R50" s="18">
        <f t="shared" ca="1" si="53"/>
        <v>-314.83487999999988</v>
      </c>
      <c r="S50" s="76">
        <f t="shared" ca="1" si="62"/>
        <v>-0.29241186884861381</v>
      </c>
      <c r="T50" s="10">
        <f ca="1">'2020 1P1C Bran'!B55</f>
        <v>-2074.8416666666667</v>
      </c>
      <c r="U50" s="10">
        <f ca="1">'2022 1P1C Bran'!B55</f>
        <v>-3463.0611666666664</v>
      </c>
      <c r="V50" s="18">
        <f t="shared" ca="1" si="54"/>
        <v>-1388.2194999999997</v>
      </c>
      <c r="W50" s="76">
        <f t="shared" ca="1" si="63"/>
        <v>0.66907249950799441</v>
      </c>
      <c r="X50" s="10">
        <f ca="1">'2020 1P Bran'!$B55</f>
        <v>956.59002399999963</v>
      </c>
      <c r="Y50" s="10">
        <f ca="1">'2022 1P Bran'!$B55</f>
        <v>183.09006700000009</v>
      </c>
      <c r="Z50" s="18">
        <f t="shared" ca="1" si="55"/>
        <v>-773.49995699999954</v>
      </c>
      <c r="AA50" s="76">
        <f t="shared" ca="1" si="66"/>
        <v>-0.80860132093537262</v>
      </c>
      <c r="AC50" s="10">
        <f ca="1">'2020 2P2C Thom'!D55</f>
        <v>562.63828799999953</v>
      </c>
      <c r="AD50" s="10">
        <f ca="1">'2022 2P2C Thom'!D55</f>
        <v>454.89000000000078</v>
      </c>
      <c r="AE50" s="18">
        <f t="shared" ca="1" si="57"/>
        <v>-107.74828799999875</v>
      </c>
      <c r="AF50" s="76">
        <f t="shared" ca="1" si="64"/>
        <v>-0.19150543128340894</v>
      </c>
      <c r="AG50" s="10">
        <f ca="1">'2020 1P1C Thom'!B55</f>
        <v>-2765.6880000000006</v>
      </c>
      <c r="AH50" s="10">
        <f ca="1">'2022 1P1C Thom'!B55</f>
        <v>-3903.34</v>
      </c>
      <c r="AI50" s="18">
        <f t="shared" ca="1" si="58"/>
        <v>-1137.6519999999996</v>
      </c>
      <c r="AJ50" s="76">
        <f t="shared" ca="1" si="65"/>
        <v>0.41134502517999116</v>
      </c>
      <c r="AK50" s="10">
        <f ca="1">'2020 1P Thom'!$B55</f>
        <v>2534.7819840000006</v>
      </c>
      <c r="AL50" s="10">
        <f ca="1">'2022 1P Thom'!$B55</f>
        <v>2305.1970810000007</v>
      </c>
      <c r="AM50" s="18">
        <f t="shared" ca="1" si="59"/>
        <v>-229.58490299999994</v>
      </c>
      <c r="AN50" s="76">
        <f t="shared" ca="1" si="67"/>
        <v>-9.0573826249823894E-2</v>
      </c>
    </row>
    <row r="51" spans="1:40" x14ac:dyDescent="0.25">
      <c r="A51" t="s">
        <v>43</v>
      </c>
      <c r="B51" s="10">
        <f ca="1">'2020 2P2C WPG'!D56</f>
        <v>1367.9311664000002</v>
      </c>
      <c r="C51" s="10">
        <f ca="1">'2022 2P2C WPG'!D56</f>
        <v>2306.3373657599991</v>
      </c>
      <c r="D51" s="10"/>
      <c r="E51" s="18">
        <f t="shared" ca="1" si="48"/>
        <v>938.40619935999894</v>
      </c>
      <c r="F51" s="76">
        <f t="shared" ca="1" si="49"/>
        <v>0.68600396160986166</v>
      </c>
      <c r="G51" s="10">
        <f ca="1">'2020 1P1C WPG'!B56</f>
        <v>640.81013360000088</v>
      </c>
      <c r="H51" s="10">
        <f ca="1">'2022 1P1C WPG'!B56</f>
        <v>1176.3587079600015</v>
      </c>
      <c r="I51" s="18">
        <f t="shared" ca="1" si="50"/>
        <v>535.54857436000066</v>
      </c>
      <c r="J51" s="76">
        <f t="shared" ca="1" si="61"/>
        <v>0.83573674366125839</v>
      </c>
      <c r="K51" s="10">
        <f ca="1">'2020 1P WPG'!$B56</f>
        <v>1023.7330668799998</v>
      </c>
      <c r="L51" s="10">
        <f ca="1">'2022 1P WPG'!$B56</f>
        <v>1616.4876014399997</v>
      </c>
      <c r="M51" s="18">
        <f t="shared" ca="1" si="51"/>
        <v>592.75453455999991</v>
      </c>
      <c r="N51" s="76">
        <f t="shared" ca="1" si="52"/>
        <v>0.57901278539973311</v>
      </c>
      <c r="P51" s="10">
        <f ca="1">'2020 2P2C Bran'!D56</f>
        <v>566.90649184000017</v>
      </c>
      <c r="Q51" s="10">
        <f ca="1">'2022 2P2C Bran'!D56</f>
        <v>1246.30338624</v>
      </c>
      <c r="R51" s="18">
        <f t="shared" ca="1" si="53"/>
        <v>679.39689439999984</v>
      </c>
      <c r="S51" s="76">
        <f t="shared" ca="1" si="62"/>
        <v>1.1984284960203775</v>
      </c>
      <c r="T51" s="10">
        <f ca="1">'2020 1P1C Bran'!B56</f>
        <v>-186.8413333333333</v>
      </c>
      <c r="U51" s="10">
        <f ca="1">'2022 1P1C Bran'!B56</f>
        <v>-177.41933333333333</v>
      </c>
      <c r="V51" s="18">
        <f t="shared" ca="1" si="54"/>
        <v>9.4219999999999686</v>
      </c>
      <c r="W51" s="76">
        <f t="shared" ca="1" si="63"/>
        <v>-5.0427813974066968E-2</v>
      </c>
      <c r="X51" s="10">
        <f ca="1">'2020 1P Bran'!$B56</f>
        <v>426.45405728000014</v>
      </c>
      <c r="Y51" s="10">
        <f ca="1">'2022 1P Bran'!$B56</f>
        <v>899.05924824000022</v>
      </c>
      <c r="Z51" s="18">
        <f t="shared" ca="1" si="55"/>
        <v>472.60519096000007</v>
      </c>
      <c r="AA51" s="76">
        <f t="shared" ca="1" si="66"/>
        <v>1.1082206462622495</v>
      </c>
      <c r="AC51" s="10">
        <f ca="1">'2020 2P2C Thom'!D56</f>
        <v>83.156786719999218</v>
      </c>
      <c r="AD51" s="10">
        <f ca="1">'2022 2P2C Thom'!D56</f>
        <v>1004.4311999999995</v>
      </c>
      <c r="AE51" s="18">
        <f t="shared" ca="1" si="57"/>
        <v>921.27441328000032</v>
      </c>
      <c r="AF51" s="76">
        <f t="shared" ca="1" si="64"/>
        <v>11.078763978483956</v>
      </c>
      <c r="AG51" s="10">
        <f ca="1">'2020 1P1C Thom'!B56</f>
        <v>-200.27266666666665</v>
      </c>
      <c r="AH51" s="10">
        <f ca="1">'2022 1P1C Thom'!B56</f>
        <v>-174.18066666666664</v>
      </c>
      <c r="AI51" s="18">
        <f t="shared" ca="1" si="58"/>
        <v>26.092000000000013</v>
      </c>
      <c r="AJ51" s="76">
        <f t="shared" ca="1" si="65"/>
        <v>-0.13028238168630107</v>
      </c>
      <c r="AK51" s="10">
        <f ca="1">'2020 1P Thom'!$B56</f>
        <v>1256.1334284800005</v>
      </c>
      <c r="AL51" s="10">
        <f ca="1">'2022 1P Thom'!$B56</f>
        <v>1598.4040483200006</v>
      </c>
      <c r="AM51" s="18">
        <f t="shared" ca="1" si="59"/>
        <v>342.27061984000011</v>
      </c>
      <c r="AN51" s="76">
        <f t="shared" ca="1" si="67"/>
        <v>0.2724795090073901</v>
      </c>
    </row>
    <row r="52" spans="1:40" x14ac:dyDescent="0.25">
      <c r="A52" t="s">
        <v>44</v>
      </c>
      <c r="B52" s="10">
        <f ca="1">'2020 2P2C WPG'!D57</f>
        <v>51685.069013600005</v>
      </c>
      <c r="C52" s="10">
        <f ca="1">'2022 2P2C WPG'!D57</f>
        <v>57923.494646239997</v>
      </c>
      <c r="D52" s="10"/>
      <c r="E52" s="18">
        <f t="shared" ca="1" si="48"/>
        <v>6238.4256326399918</v>
      </c>
      <c r="F52" s="76">
        <f t="shared" ca="1" si="49"/>
        <v>0.12070073140462406</v>
      </c>
      <c r="G52" s="10">
        <f ca="1">'2020 1P1C WPG'!B57</f>
        <v>35202.126761400003</v>
      </c>
      <c r="H52" s="10">
        <f ca="1">'2022 1P1C WPG'!B57</f>
        <v>41378.103144040004</v>
      </c>
      <c r="I52" s="18">
        <f t="shared" ca="1" si="50"/>
        <v>6175.9763826400012</v>
      </c>
      <c r="J52" s="76">
        <f t="shared" ca="1" si="61"/>
        <v>0.17544327433682533</v>
      </c>
      <c r="K52" s="10">
        <f ca="1">'2020 1P WPG'!$B57</f>
        <v>25044.954589120003</v>
      </c>
      <c r="L52" s="10">
        <f ca="1">'2022 1P WPG'!$B57</f>
        <v>28618.252826560001</v>
      </c>
      <c r="M52" s="18">
        <f t="shared" ca="1" si="51"/>
        <v>3573.298237439998</v>
      </c>
      <c r="N52" s="76">
        <f t="shared" ca="1" si="52"/>
        <v>0.14267537298679334</v>
      </c>
      <c r="P52" s="10">
        <f ca="1">'2020 2P2C Bran'!D57</f>
        <v>46894.023016159997</v>
      </c>
      <c r="Q52" s="10">
        <f ca="1">'2022 2P2C Bran'!D57</f>
        <v>51368.479801759997</v>
      </c>
      <c r="R52" s="18">
        <f t="shared" ca="1" si="53"/>
        <v>4474.4567855999994</v>
      </c>
      <c r="S52" s="76">
        <f t="shared" ca="1" si="62"/>
        <v>9.5416355812724174E-2</v>
      </c>
      <c r="T52" s="10">
        <f ca="1">'2020 1P1C Bran'!B57</f>
        <v>26954.913239999998</v>
      </c>
      <c r="U52" s="10">
        <f ca="1">'2022 1P1C Bran'!B57</f>
        <v>27824.556220000002</v>
      </c>
      <c r="V52" s="18">
        <f t="shared" ca="1" si="54"/>
        <v>869.64298000000417</v>
      </c>
      <c r="W52" s="76">
        <f t="shared" ca="1" si="63"/>
        <v>3.2262874387942356E-2</v>
      </c>
      <c r="X52" s="10">
        <f ca="1">'2020 1P Bran'!$B57</f>
        <v>21222.020078720001</v>
      </c>
      <c r="Y52" s="10">
        <f ca="1">'2022 1P Bran'!$B57</f>
        <v>24607.854464759999</v>
      </c>
      <c r="Z52" s="18">
        <f t="shared" ca="1" si="55"/>
        <v>3385.8343860399982</v>
      </c>
      <c r="AA52" s="76">
        <f t="shared" ca="1" si="66"/>
        <v>0.15954345408593232</v>
      </c>
      <c r="AC52" s="10">
        <f ca="1">'2020 2P2C Thom'!D57</f>
        <v>48163.448765280002</v>
      </c>
      <c r="AD52" s="10">
        <f ca="1">'2022 2P2C Thom'!D57</f>
        <v>53913.933799999999</v>
      </c>
      <c r="AE52" s="18">
        <f t="shared" ca="1" si="57"/>
        <v>5750.4850347199972</v>
      </c>
      <c r="AF52" s="76">
        <f t="shared" ca="1" si="64"/>
        <v>0.11939520906703423</v>
      </c>
      <c r="AG52" s="10">
        <f ca="1">'2020 1P1C Thom'!B57</f>
        <v>28491.061946666665</v>
      </c>
      <c r="AH52" s="10">
        <f ca="1">'2022 1P1C Thom'!B57</f>
        <v>30951.962246666666</v>
      </c>
      <c r="AI52" s="18">
        <f t="shared" ca="1" si="58"/>
        <v>2460.9003000000012</v>
      </c>
      <c r="AJ52" s="76">
        <f t="shared" ca="1" si="65"/>
        <v>8.6374467354240411E-2</v>
      </c>
      <c r="AK52" s="10">
        <f ca="1">'2020 1P Thom'!$B57</f>
        <v>28406.131147520002</v>
      </c>
      <c r="AL52" s="10">
        <f ca="1">'2022 1P Thom'!$B57</f>
        <v>30145.149410680002</v>
      </c>
      <c r="AM52" s="18">
        <f t="shared" ca="1" si="59"/>
        <v>1739.0182631600001</v>
      </c>
      <c r="AN52" s="76">
        <f t="shared" ca="1" si="67"/>
        <v>6.121982096501815E-2</v>
      </c>
    </row>
    <row r="53" spans="1:40" x14ac:dyDescent="0.25">
      <c r="A53" t="s">
        <v>45</v>
      </c>
      <c r="B53" s="10">
        <f ca="1">'2020 2P2C WPG'!D58</f>
        <v>4307.0890844666665</v>
      </c>
      <c r="C53" s="10">
        <f ca="1">'2022 2P2C WPG'!D58</f>
        <v>4826.957887186667</v>
      </c>
      <c r="D53" s="10"/>
      <c r="E53" s="18">
        <f t="shared" ca="1" si="48"/>
        <v>519.86880272000053</v>
      </c>
      <c r="F53" s="76">
        <f t="shared" ca="1" si="49"/>
        <v>0.12070073140462435</v>
      </c>
      <c r="G53" s="10">
        <f ca="1">'2020 1P1C WPG'!B58</f>
        <v>2933.5105634500001</v>
      </c>
      <c r="H53" s="10">
        <f ca="1">'2022 1P1C WPG'!B58</f>
        <v>3448.1752620033335</v>
      </c>
      <c r="I53" s="18">
        <f t="shared" ca="1" si="50"/>
        <v>514.66469855333344</v>
      </c>
      <c r="J53" s="76">
        <f t="shared" ca="1" si="61"/>
        <v>0.17544327433682533</v>
      </c>
      <c r="K53" s="10">
        <f ca="1">'2020 1P WPG'!$B58</f>
        <v>2087.0795490933338</v>
      </c>
      <c r="L53" s="10">
        <f ca="1">'2022 1P WPG'!$B58</f>
        <v>2384.8544022133333</v>
      </c>
      <c r="M53" s="18">
        <f t="shared" ca="1" si="51"/>
        <v>297.77485311999953</v>
      </c>
      <c r="N53" s="76">
        <f t="shared" ca="1" si="52"/>
        <v>0.1426753729867932</v>
      </c>
      <c r="P53" s="10">
        <f ca="1">'2020 2P2C Bran'!D58</f>
        <v>3907.8352513466666</v>
      </c>
      <c r="Q53" s="10">
        <f ca="1">'2022 2P2C Bran'!D58</f>
        <v>4280.706650146667</v>
      </c>
      <c r="R53" s="18">
        <f t="shared" ca="1" si="53"/>
        <v>372.87139880000041</v>
      </c>
      <c r="S53" s="76">
        <f t="shared" ca="1" si="62"/>
        <v>9.5416355812724285E-2</v>
      </c>
      <c r="T53" s="10">
        <f ca="1">'2020 1P1C Bran'!B58</f>
        <v>2246.2427699999998</v>
      </c>
      <c r="U53" s="10">
        <f ca="1">'2022 1P1C Bran'!B58</f>
        <v>2318.7130183333334</v>
      </c>
      <c r="V53" s="18">
        <f t="shared" ca="1" si="54"/>
        <v>72.470248333333529</v>
      </c>
      <c r="W53" s="76">
        <f t="shared" ca="1" si="63"/>
        <v>3.2262874387942286E-2</v>
      </c>
      <c r="X53" s="10">
        <f ca="1">'2020 1P Bran'!$B58</f>
        <v>1768.5016732266668</v>
      </c>
      <c r="Y53" s="10">
        <f ca="1">'2022 1P Bran'!$B58</f>
        <v>2050.6545387299998</v>
      </c>
      <c r="Z53" s="18">
        <f t="shared" ca="1" si="55"/>
        <v>282.15286550333303</v>
      </c>
      <c r="AA53" s="76">
        <f t="shared" ca="1" si="66"/>
        <v>0.15954345408593223</v>
      </c>
      <c r="AC53" s="10">
        <f ca="1">'2020 2P2C Thom'!D58</f>
        <v>4013.62073044</v>
      </c>
      <c r="AD53" s="10">
        <f ca="1">'2022 2P2C Thom'!D58</f>
        <v>4492.827816666666</v>
      </c>
      <c r="AE53" s="18">
        <f t="shared" ca="1" si="57"/>
        <v>479.20708622666598</v>
      </c>
      <c r="AF53" s="76">
        <f t="shared" ca="1" si="64"/>
        <v>0.11939520906703412</v>
      </c>
      <c r="AG53" s="10">
        <f ca="1">'2020 1P1C Thom'!B58</f>
        <v>2374.2551622222222</v>
      </c>
      <c r="AH53" s="10">
        <f ca="1">'2022 1P1C Thom'!B58</f>
        <v>2579.3301872222223</v>
      </c>
      <c r="AI53" s="18">
        <f t="shared" ca="1" si="58"/>
        <v>205.0750250000001</v>
      </c>
      <c r="AJ53" s="76">
        <f t="shared" ca="1" si="65"/>
        <v>8.6374467354240411E-2</v>
      </c>
      <c r="AK53" s="10">
        <f ca="1">'2020 1P Thom'!$B58</f>
        <v>2367.177595626667</v>
      </c>
      <c r="AL53" s="10">
        <f ca="1">'2022 1P Thom'!$B58</f>
        <v>2512.0957842233333</v>
      </c>
      <c r="AM53" s="18">
        <f t="shared" ca="1" si="59"/>
        <v>144.91818859666637</v>
      </c>
      <c r="AN53" s="76">
        <f t="shared" ca="1" si="67"/>
        <v>6.1219820965018018E-2</v>
      </c>
    </row>
    <row r="54" spans="1:40" x14ac:dyDescent="0.25">
      <c r="J54" s="76"/>
      <c r="K54" s="76"/>
      <c r="L54" s="76"/>
      <c r="M54" s="76"/>
      <c r="N54" s="76"/>
      <c r="S54" s="76"/>
      <c r="W54" s="76"/>
      <c r="X54" s="76"/>
      <c r="Y54" s="76"/>
      <c r="Z54" s="76"/>
      <c r="AA54" s="76"/>
      <c r="AF54" s="76"/>
      <c r="AJ54" s="76"/>
      <c r="AK54" s="76"/>
      <c r="AL54" s="76"/>
      <c r="AM54" s="76"/>
      <c r="AN54" s="76"/>
    </row>
    <row r="55" spans="1:40" x14ac:dyDescent="0.25">
      <c r="J55" s="76"/>
      <c r="K55" s="76"/>
      <c r="L55" s="76"/>
      <c r="M55" s="76"/>
      <c r="N55" s="76"/>
      <c r="S55" s="76"/>
      <c r="W55" s="76"/>
      <c r="X55" s="76"/>
      <c r="Y55" s="76"/>
      <c r="Z55" s="76"/>
      <c r="AA55" s="76"/>
      <c r="AF55" s="76"/>
      <c r="AJ55" s="76"/>
      <c r="AK55" s="76"/>
      <c r="AL55" s="76"/>
      <c r="AM55" s="76"/>
      <c r="AN55" s="76"/>
    </row>
    <row r="56" spans="1:40" x14ac:dyDescent="0.25">
      <c r="J56" s="76"/>
      <c r="K56" s="76"/>
      <c r="L56" s="76"/>
      <c r="M56" s="76"/>
      <c r="N56" s="76"/>
      <c r="S56" s="76"/>
      <c r="W56" s="76"/>
      <c r="X56" s="76"/>
      <c r="Y56" s="76"/>
      <c r="Z56" s="76"/>
      <c r="AA56" s="76"/>
      <c r="AF56" s="76"/>
      <c r="AJ56" s="76"/>
      <c r="AK56" s="76"/>
      <c r="AL56" s="76"/>
      <c r="AM56" s="76"/>
      <c r="AN56" s="7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113"/>
  <sheetViews>
    <sheetView zoomScale="70" zoomScaleNormal="70" workbookViewId="0">
      <selection activeCell="C11" sqref="C11"/>
    </sheetView>
  </sheetViews>
  <sheetFormatPr defaultColWidth="8.5546875" defaultRowHeight="13.2" x14ac:dyDescent="0.25"/>
  <cols>
    <col min="1" max="1" width="22.5546875" style="81" customWidth="1"/>
    <col min="2" max="2" width="10.109375" style="81" customWidth="1"/>
    <col min="3" max="3" width="10.44140625" style="81" customWidth="1"/>
    <col min="4" max="4" width="8.5546875" style="81"/>
    <col min="5" max="5" width="10.5546875" style="81" customWidth="1"/>
    <col min="6" max="6" width="12.44140625" style="81" customWidth="1"/>
    <col min="7" max="7" width="12.21875" style="81" customWidth="1"/>
    <col min="8" max="8" width="14" style="81" customWidth="1"/>
    <col min="9" max="9" width="8.44140625" style="81" customWidth="1"/>
    <col min="10" max="10" width="8.5546875" style="81"/>
    <col min="11" max="11" width="25" style="81" customWidth="1"/>
    <col min="12" max="12" width="24.5546875" style="81" customWidth="1"/>
    <col min="13" max="13" width="23.77734375" style="81" customWidth="1"/>
    <col min="14" max="14" width="23.21875" style="81" customWidth="1"/>
    <col min="15" max="16" width="10.5546875" style="81" customWidth="1"/>
    <col min="17" max="17" width="8.5546875" style="81"/>
    <col min="18" max="18" width="8" style="81" customWidth="1"/>
    <col min="19" max="19" width="7.44140625" style="81" customWidth="1"/>
    <col min="20" max="16384" width="8.5546875" style="81"/>
  </cols>
  <sheetData>
    <row r="1" spans="1:20" ht="17.399999999999999" x14ac:dyDescent="0.3">
      <c r="A1" s="80" t="s">
        <v>46</v>
      </c>
      <c r="B1" s="80"/>
      <c r="K1" s="199"/>
      <c r="M1" s="199"/>
    </row>
    <row r="2" spans="1:20" s="82" customFormat="1" ht="15" customHeight="1" x14ac:dyDescent="0.3">
      <c r="B2" s="82" t="s">
        <v>47</v>
      </c>
      <c r="D2" s="83"/>
      <c r="E2" s="84"/>
      <c r="L2" s="81"/>
      <c r="M2" s="198"/>
      <c r="N2" s="197"/>
    </row>
    <row r="3" spans="1:20" ht="15.6" x14ac:dyDescent="0.3">
      <c r="A3" s="85" t="s">
        <v>48</v>
      </c>
      <c r="C3" s="82"/>
      <c r="D3" s="83"/>
      <c r="E3" s="84"/>
      <c r="F3" s="82"/>
      <c r="G3" s="82"/>
      <c r="H3" s="82"/>
      <c r="I3" s="82"/>
      <c r="J3" s="82"/>
      <c r="K3" s="199"/>
    </row>
    <row r="4" spans="1:20" ht="12.75" customHeight="1" x14ac:dyDescent="0.3">
      <c r="A4" s="82"/>
      <c r="C4" s="82"/>
      <c r="D4" s="83"/>
      <c r="E4" s="84"/>
      <c r="F4" s="82"/>
      <c r="G4" s="82"/>
      <c r="H4" s="82"/>
      <c r="I4" s="82"/>
      <c r="J4" s="82"/>
      <c r="K4" s="199"/>
    </row>
    <row r="5" spans="1:20" ht="15.6" x14ac:dyDescent="0.3">
      <c r="B5" s="86" t="s">
        <v>49</v>
      </c>
    </row>
    <row r="6" spans="1:20" ht="12.75" customHeight="1" x14ac:dyDescent="0.3">
      <c r="C6" s="86"/>
      <c r="J6" s="87"/>
      <c r="L6" s="87"/>
      <c r="M6" s="88"/>
      <c r="N6" s="88"/>
      <c r="O6" s="88"/>
      <c r="P6" s="88"/>
      <c r="Q6" s="88"/>
      <c r="R6" s="88"/>
      <c r="T6" s="4"/>
    </row>
    <row r="7" spans="1:20" x14ac:dyDescent="0.25">
      <c r="A7" s="89" t="s">
        <v>11</v>
      </c>
      <c r="B7" s="90" t="s">
        <v>50</v>
      </c>
      <c r="C7" s="90" t="s">
        <v>12</v>
      </c>
      <c r="D7" s="91" t="s">
        <v>51</v>
      </c>
      <c r="E7" s="91" t="s">
        <v>52</v>
      </c>
      <c r="F7" s="87"/>
      <c r="G7" s="87"/>
      <c r="H7" s="92" t="s">
        <v>53</v>
      </c>
      <c r="I7" s="93">
        <f>D50</f>
        <v>66757.599999999991</v>
      </c>
      <c r="J7" s="87"/>
      <c r="K7" s="81" t="s">
        <v>54</v>
      </c>
      <c r="L7" s="81" t="s">
        <v>55</v>
      </c>
      <c r="M7" s="81" t="s">
        <v>56</v>
      </c>
      <c r="N7" s="81" t="s">
        <v>57</v>
      </c>
      <c r="O7" s="81" t="s">
        <v>58</v>
      </c>
      <c r="P7" s="81" t="s">
        <v>59</v>
      </c>
      <c r="T7" s="4"/>
    </row>
    <row r="8" spans="1:20" x14ac:dyDescent="0.25">
      <c r="A8" s="94" t="s">
        <v>13</v>
      </c>
      <c r="B8" s="95"/>
      <c r="C8" s="95"/>
      <c r="D8" s="96" t="s">
        <v>60</v>
      </c>
      <c r="E8" s="91" t="s">
        <v>61</v>
      </c>
      <c r="G8" s="97"/>
      <c r="H8" s="98" t="s">
        <v>62</v>
      </c>
      <c r="I8" s="93">
        <f ca="1">C33</f>
        <v>8937.9340000000011</v>
      </c>
      <c r="J8" s="97"/>
      <c r="K8" s="81" t="s">
        <v>63</v>
      </c>
      <c r="L8" s="81">
        <v>243</v>
      </c>
      <c r="M8" s="81">
        <v>20.8</v>
      </c>
      <c r="N8" s="81">
        <f>L8*M8</f>
        <v>5054.4000000000005</v>
      </c>
      <c r="O8" s="81">
        <v>2</v>
      </c>
      <c r="P8" s="81">
        <f>O8*L8</f>
        <v>486</v>
      </c>
      <c r="Q8" s="4"/>
      <c r="T8" s="4"/>
    </row>
    <row r="9" spans="1:20" x14ac:dyDescent="0.25">
      <c r="A9" s="203" t="s">
        <v>14</v>
      </c>
      <c r="B9" s="95">
        <f>C9/12</f>
        <v>930.02000795228616</v>
      </c>
      <c r="C9" s="200">
        <f>0.912*12022*153.6/150.9</f>
        <v>11160.240095427434</v>
      </c>
      <c r="D9" s="5">
        <f>C9/C20</f>
        <v>0.16695191304992893</v>
      </c>
      <c r="E9" s="5">
        <f>C9/D50</f>
        <v>0.16717557394854571</v>
      </c>
      <c r="F9" s="99"/>
      <c r="G9" s="97"/>
      <c r="H9" s="100" t="s">
        <v>64</v>
      </c>
      <c r="I9" s="101">
        <f ca="1">I7+I8</f>
        <v>75695.533999999985</v>
      </c>
      <c r="J9" s="87"/>
      <c r="K9" s="199" t="s">
        <v>133</v>
      </c>
      <c r="L9" s="81">
        <v>182</v>
      </c>
      <c r="M9" s="81">
        <v>8.6</v>
      </c>
      <c r="N9" s="81">
        <f>L9*M9</f>
        <v>1565.2</v>
      </c>
      <c r="O9" s="81">
        <v>2</v>
      </c>
      <c r="P9" s="81">
        <f>O9*L9</f>
        <v>364</v>
      </c>
      <c r="Q9" s="4"/>
      <c r="R9" s="102"/>
      <c r="T9" s="4"/>
    </row>
    <row r="10" spans="1:20" x14ac:dyDescent="0.25">
      <c r="A10" s="203" t="s">
        <v>15</v>
      </c>
      <c r="B10" s="95">
        <f>C10/12</f>
        <v>170.53065953654189</v>
      </c>
      <c r="C10" s="95">
        <f>2042*(93.7/93.5)</f>
        <v>2046.3679144385028</v>
      </c>
      <c r="D10" s="5">
        <f>C10/C20</f>
        <v>3.0612696070891871E-2</v>
      </c>
      <c r="E10" s="5">
        <f>C10/D50</f>
        <v>3.0653707060147504E-2</v>
      </c>
      <c r="F10" s="202"/>
      <c r="H10" s="103"/>
      <c r="I10" s="103"/>
      <c r="J10" s="97"/>
      <c r="K10" s="199" t="s">
        <v>162</v>
      </c>
      <c r="L10" s="81">
        <v>48</v>
      </c>
      <c r="M10" s="81">
        <v>20.8</v>
      </c>
      <c r="N10" s="81">
        <f>L10*M10</f>
        <v>998.40000000000009</v>
      </c>
      <c r="O10" s="81">
        <v>1.8</v>
      </c>
      <c r="P10" s="81">
        <f>O10*L10</f>
        <v>86.4</v>
      </c>
      <c r="Q10" s="4"/>
      <c r="R10" s="102"/>
      <c r="T10" s="4"/>
    </row>
    <row r="11" spans="1:20" x14ac:dyDescent="0.25">
      <c r="A11" s="203" t="s">
        <v>16</v>
      </c>
      <c r="B11" s="95">
        <f>C11/12</f>
        <v>1733.1426897256276</v>
      </c>
      <c r="C11" s="97">
        <f>(1650*12)+(487.63*(163.4/114.2))+(25*12)</f>
        <v>20797.712276707531</v>
      </c>
      <c r="D11" s="5">
        <f>C11/C20</f>
        <v>0.31112393837126762</v>
      </c>
      <c r="E11" s="5">
        <f>C11/D50</f>
        <v>0.31154074257773695</v>
      </c>
      <c r="F11" s="199"/>
      <c r="G11" s="97"/>
      <c r="H11" s="85" t="s">
        <v>67</v>
      </c>
      <c r="I11" s="104">
        <f ca="1">B55+C55+B56+C56</f>
        <v>4522.5460737599969</v>
      </c>
      <c r="J11" s="87"/>
      <c r="K11" s="81" t="s">
        <v>25</v>
      </c>
      <c r="N11" s="81">
        <f>SUM(N8:N10)</f>
        <v>7618</v>
      </c>
      <c r="P11" s="81">
        <f>SUM(P8:P10)</f>
        <v>936.4</v>
      </c>
      <c r="Q11" s="4"/>
      <c r="R11" s="102"/>
      <c r="T11" s="4"/>
    </row>
    <row r="12" spans="1:20" x14ac:dyDescent="0.25">
      <c r="A12" s="203" t="s">
        <v>17</v>
      </c>
      <c r="B12" s="95">
        <f>C12/12</f>
        <v>548.5605562855892</v>
      </c>
      <c r="C12" s="95">
        <f>(12*106)+(4817*167.8/152.2)</f>
        <v>6582.7266754270704</v>
      </c>
      <c r="D12" s="5">
        <f>C12/C20</f>
        <v>9.8474477444049704E-2</v>
      </c>
      <c r="E12" s="5">
        <f>C11/D50</f>
        <v>0.31154074257773695</v>
      </c>
      <c r="F12" s="99"/>
      <c r="H12" s="104" t="s">
        <v>68</v>
      </c>
      <c r="I12" s="104">
        <f ca="1">C33</f>
        <v>8937.9340000000011</v>
      </c>
      <c r="J12" s="4"/>
      <c r="K12" s="81" t="s">
        <v>69</v>
      </c>
      <c r="N12" s="81">
        <f>11.95*3.5*26</f>
        <v>1087.4499999999998</v>
      </c>
      <c r="Q12" s="4"/>
      <c r="R12" s="102"/>
      <c r="T12" s="4"/>
    </row>
    <row r="13" spans="1:20" x14ac:dyDescent="0.25">
      <c r="A13" s="203" t="s">
        <v>18</v>
      </c>
      <c r="B13" s="95">
        <f>C13/12</f>
        <v>982.20969696969689</v>
      </c>
      <c r="C13" s="95">
        <f>11413*(142/137.5)</f>
        <v>11786.516363636363</v>
      </c>
      <c r="D13" s="5">
        <f>C13/C20</f>
        <v>0.17632070979455189</v>
      </c>
      <c r="E13" s="5">
        <f>C13/D50</f>
        <v>0.17655692181319227</v>
      </c>
      <c r="G13" s="97"/>
      <c r="H13" s="101" t="s">
        <v>70</v>
      </c>
      <c r="I13" s="101">
        <f ca="1">I11-I12</f>
        <v>-4415.3879262400042</v>
      </c>
      <c r="J13" s="97"/>
      <c r="K13" s="97"/>
      <c r="L13" s="103"/>
      <c r="Q13" s="4"/>
      <c r="R13" s="102"/>
      <c r="T13" s="4"/>
    </row>
    <row r="14" spans="1:20" s="106" customFormat="1" x14ac:dyDescent="0.25">
      <c r="A14" s="96" t="s">
        <v>19</v>
      </c>
      <c r="B14" s="105">
        <f>SUM(B9:B13)</f>
        <v>4364.463610469742</v>
      </c>
      <c r="C14" s="105">
        <f>SUM(C9:C13)</f>
        <v>52373.563325636896</v>
      </c>
      <c r="D14" s="6">
        <f>C14/C20</f>
        <v>0.78348373473069</v>
      </c>
      <c r="E14" s="6">
        <f>C14/D50</f>
        <v>0.78453334640006389</v>
      </c>
      <c r="G14" s="101"/>
      <c r="H14" s="104" t="s">
        <v>71</v>
      </c>
      <c r="I14" s="104">
        <f>B53+C53+B54+C54</f>
        <v>4311.5592799999995</v>
      </c>
      <c r="J14" s="101"/>
      <c r="K14" s="101"/>
      <c r="L14" s="103"/>
      <c r="M14" s="81"/>
      <c r="N14" s="81"/>
      <c r="O14" s="81"/>
      <c r="P14" s="81"/>
      <c r="Q14" s="4"/>
      <c r="R14" s="102"/>
      <c r="S14" s="81"/>
      <c r="T14" s="4"/>
    </row>
    <row r="15" spans="1:20" x14ac:dyDescent="0.25">
      <c r="A15" s="203" t="s">
        <v>20</v>
      </c>
      <c r="B15" s="95">
        <f>C15/12</f>
        <v>634.83333333333337</v>
      </c>
      <c r="C15" s="95">
        <f>N11</f>
        <v>7618</v>
      </c>
      <c r="D15" s="5">
        <f>C15/C20</f>
        <v>0.11396167669685313</v>
      </c>
      <c r="E15" s="5">
        <f>C15/D50</f>
        <v>0.11411434802928806</v>
      </c>
      <c r="G15" s="97"/>
      <c r="H15" s="106" t="s">
        <v>72</v>
      </c>
      <c r="I15" s="101">
        <f ca="1">I13+I14</f>
        <v>-103.82864624000467</v>
      </c>
      <c r="J15" s="97"/>
      <c r="K15" s="97"/>
      <c r="L15" s="103"/>
      <c r="M15" s="107"/>
      <c r="N15" s="107"/>
      <c r="O15" s="107"/>
      <c r="Q15" s="4"/>
      <c r="R15" s="102"/>
      <c r="T15" s="4"/>
    </row>
    <row r="16" spans="1:20" x14ac:dyDescent="0.25">
      <c r="A16" s="203" t="s">
        <v>21</v>
      </c>
      <c r="B16" s="95">
        <f>C16/12</f>
        <v>0</v>
      </c>
      <c r="C16" s="95">
        <v>0</v>
      </c>
      <c r="D16" s="108">
        <f>C16/C20</f>
        <v>0</v>
      </c>
      <c r="E16" s="108">
        <f>C16/D50</f>
        <v>0</v>
      </c>
      <c r="H16" s="97"/>
      <c r="I16" s="97"/>
      <c r="J16" s="97"/>
      <c r="K16" s="97"/>
      <c r="L16" s="103"/>
      <c r="Q16" s="4"/>
      <c r="R16" s="102"/>
      <c r="T16" s="4"/>
    </row>
    <row r="17" spans="1:29" x14ac:dyDescent="0.25">
      <c r="A17" s="203" t="s">
        <v>22</v>
      </c>
      <c r="B17" s="95">
        <f>C17/12</f>
        <v>198.29999999999998</v>
      </c>
      <c r="C17" s="95">
        <f>(75.15+61.35+41.35+20.45)*12</f>
        <v>2379.6</v>
      </c>
      <c r="D17" s="5">
        <f>C17/C20</f>
        <v>3.559769045259014E-2</v>
      </c>
      <c r="E17" s="5">
        <f>C17/D50</f>
        <v>3.5645379702086359E-2</v>
      </c>
      <c r="G17" s="101"/>
      <c r="I17" s="97"/>
      <c r="J17" s="97"/>
      <c r="K17" s="97"/>
      <c r="L17" s="103"/>
      <c r="Q17" s="4"/>
      <c r="R17" s="102"/>
      <c r="T17" s="4"/>
    </row>
    <row r="18" spans="1:29" x14ac:dyDescent="0.25">
      <c r="A18" s="203" t="s">
        <v>23</v>
      </c>
      <c r="B18" s="95">
        <f>C18/12</f>
        <v>159.02250000000001</v>
      </c>
      <c r="C18" s="95">
        <v>1908.27</v>
      </c>
      <c r="D18" s="5">
        <f>C18/C20</f>
        <v>2.8546816591008654E-2</v>
      </c>
      <c r="E18" s="5">
        <f>C18/D50</f>
        <v>2.8585059978189754E-2</v>
      </c>
      <c r="F18" s="109"/>
      <c r="G18" s="110"/>
      <c r="H18" s="110"/>
      <c r="I18" s="110"/>
      <c r="J18" s="110"/>
      <c r="K18" s="110"/>
      <c r="L18" s="103"/>
      <c r="Q18" s="4"/>
      <c r="R18" s="102"/>
      <c r="T18" s="4"/>
    </row>
    <row r="19" spans="1:29" x14ac:dyDescent="0.25">
      <c r="A19" s="94" t="s">
        <v>24</v>
      </c>
      <c r="B19" s="95">
        <f>C19/12</f>
        <v>213.96666666666667</v>
      </c>
      <c r="C19" s="95">
        <f>B47*B48*2*2</f>
        <v>2567.6</v>
      </c>
      <c r="D19" s="5">
        <f>C19/C20</f>
        <v>3.8410081528857977E-2</v>
      </c>
      <c r="E19" s="5">
        <f>C19/D50</f>
        <v>3.8461538461538464E-2</v>
      </c>
      <c r="F19" s="109"/>
      <c r="G19" s="110"/>
      <c r="H19" s="110"/>
      <c r="I19" s="110"/>
      <c r="J19" s="110"/>
      <c r="K19" s="110"/>
      <c r="L19" s="103"/>
      <c r="Q19" s="4"/>
      <c r="R19" s="102"/>
      <c r="T19" s="4"/>
    </row>
    <row r="20" spans="1:29" x14ac:dyDescent="0.25">
      <c r="A20" s="94" t="s">
        <v>25</v>
      </c>
      <c r="B20" s="95">
        <f>SUM(B9:B19)-B14</f>
        <v>5570.5861104697415</v>
      </c>
      <c r="C20" s="95">
        <f>SUM(C9:C19)-C14</f>
        <v>66847.033325636905</v>
      </c>
      <c r="D20" s="5">
        <f>C20/C20</f>
        <v>1</v>
      </c>
      <c r="E20" s="5">
        <f>SUM(E9:E18)-E14</f>
        <v>1.1758124756869237</v>
      </c>
      <c r="F20" s="104"/>
      <c r="G20" s="104"/>
      <c r="H20" s="104"/>
      <c r="I20" s="104"/>
      <c r="J20" s="104"/>
      <c r="K20" s="7"/>
      <c r="L20" s="103"/>
      <c r="Q20" s="4"/>
      <c r="R20" s="102"/>
      <c r="T20" s="4"/>
    </row>
    <row r="21" spans="1:29" x14ac:dyDescent="0.25">
      <c r="B21" s="97"/>
      <c r="C21" s="97"/>
      <c r="D21" s="97"/>
      <c r="E21" s="97"/>
      <c r="F21" s="97"/>
      <c r="G21" s="97"/>
      <c r="H21" s="4"/>
      <c r="I21" s="97"/>
      <c r="J21" s="104"/>
      <c r="K21" s="97"/>
      <c r="L21" s="103"/>
      <c r="Q21" s="4"/>
      <c r="R21" s="102"/>
      <c r="T21" s="4"/>
    </row>
    <row r="22" spans="1:29" x14ac:dyDescent="0.25">
      <c r="B22" s="97"/>
      <c r="C22" s="97"/>
      <c r="L22" s="103"/>
      <c r="Q22" s="4"/>
      <c r="R22" s="102"/>
      <c r="T22" s="4"/>
    </row>
    <row r="23" spans="1:29" ht="15.6" x14ac:dyDescent="0.3">
      <c r="B23" s="86" t="s">
        <v>73</v>
      </c>
      <c r="L23" s="103"/>
      <c r="Q23" s="4"/>
      <c r="R23" s="102"/>
    </row>
    <row r="24" spans="1:29" ht="12.75" customHeight="1" x14ac:dyDescent="0.3">
      <c r="C24" s="86"/>
      <c r="L24" s="103"/>
      <c r="Q24" s="4"/>
      <c r="R24" s="102"/>
    </row>
    <row r="25" spans="1:29" x14ac:dyDescent="0.25">
      <c r="A25" s="111" t="s">
        <v>61</v>
      </c>
      <c r="B25" s="90" t="s">
        <v>50</v>
      </c>
      <c r="C25" s="90" t="s">
        <v>12</v>
      </c>
      <c r="D25" s="87"/>
      <c r="E25" s="109"/>
      <c r="F25" s="109"/>
      <c r="G25" s="109"/>
      <c r="H25" s="112"/>
      <c r="I25" s="87"/>
      <c r="J25" s="109"/>
      <c r="L25" s="103"/>
      <c r="Q25" s="4"/>
      <c r="R25" s="102"/>
    </row>
    <row r="26" spans="1:29" x14ac:dyDescent="0.25">
      <c r="A26" s="94"/>
      <c r="B26" s="113"/>
      <c r="C26" s="113"/>
      <c r="E26" s="8"/>
      <c r="F26" s="9"/>
      <c r="G26" s="9"/>
      <c r="H26" s="9"/>
      <c r="I26" s="104"/>
      <c r="J26" s="104"/>
      <c r="K26" s="85"/>
      <c r="L26" s="103"/>
      <c r="Q26" s="4"/>
      <c r="R26" s="102"/>
    </row>
    <row r="27" spans="1:29" x14ac:dyDescent="0.25">
      <c r="A27" s="94"/>
      <c r="B27" s="95"/>
      <c r="C27" s="95"/>
      <c r="E27" s="109" t="s">
        <v>74</v>
      </c>
      <c r="F27" s="109" t="s">
        <v>75</v>
      </c>
      <c r="G27" s="109" t="s">
        <v>76</v>
      </c>
      <c r="H27" s="112" t="s">
        <v>77</v>
      </c>
      <c r="K27" s="85"/>
      <c r="L27" s="103"/>
      <c r="Q27" s="4"/>
      <c r="R27" s="102"/>
    </row>
    <row r="28" spans="1:29" ht="17.100000000000001" customHeight="1" x14ac:dyDescent="0.25">
      <c r="A28" s="210" t="s">
        <v>27</v>
      </c>
      <c r="B28" s="113">
        <f ca="1">C28/12</f>
        <v>744.82783333333339</v>
      </c>
      <c r="C28" s="113">
        <f ca="1">MAX(0,E28)</f>
        <v>8937.9340000000011</v>
      </c>
      <c r="D28" s="92"/>
      <c r="E28" s="8">
        <f ca="1">IF((D52)&lt;F28,(5765+6833),IF((D52)&lt;G28,(5765+6833-(D52-F28)*0.135),(5765+6833-(G28-F28)*0.135-(D52-G28)*0.057-5044)))</f>
        <v>8937.9340000000011</v>
      </c>
      <c r="F28" s="9">
        <v>32028</v>
      </c>
      <c r="G28" s="9">
        <v>69395</v>
      </c>
      <c r="H28" s="115">
        <f>(6765+5708-(G28-F28)*0.135)/0.057+G28</f>
        <v>199718.77192982455</v>
      </c>
      <c r="K28" s="114"/>
      <c r="L28" s="113"/>
      <c r="M28" s="113"/>
      <c r="N28" s="113"/>
      <c r="O28" s="116"/>
      <c r="Q28" s="103"/>
      <c r="R28" s="97"/>
      <c r="S28" s="97"/>
      <c r="T28" s="97"/>
      <c r="U28" s="4"/>
      <c r="V28" s="102"/>
      <c r="X28" s="103"/>
      <c r="AB28" s="4"/>
      <c r="AC28" s="102"/>
    </row>
    <row r="29" spans="1:29" x14ac:dyDescent="0.25">
      <c r="A29" s="203" t="s">
        <v>78</v>
      </c>
      <c r="B29" s="95">
        <f>C29/12</f>
        <v>0</v>
      </c>
      <c r="C29" s="95">
        <v>0</v>
      </c>
      <c r="E29" s="109" t="s">
        <v>79</v>
      </c>
      <c r="F29" s="109" t="s">
        <v>80</v>
      </c>
      <c r="G29" s="109" t="s">
        <v>81</v>
      </c>
      <c r="H29" s="97"/>
      <c r="I29" s="97"/>
      <c r="L29" s="103"/>
      <c r="Q29" s="4"/>
      <c r="R29" s="102"/>
    </row>
    <row r="30" spans="1:29" x14ac:dyDescent="0.25">
      <c r="A30" s="203" t="s">
        <v>28</v>
      </c>
      <c r="B30" s="95">
        <f ca="1">C30/12</f>
        <v>0</v>
      </c>
      <c r="C30" s="95">
        <f ca="1">G30</f>
        <v>0</v>
      </c>
      <c r="E30" s="104">
        <f>299+299+157+157</f>
        <v>912</v>
      </c>
      <c r="F30" s="85">
        <f ca="1">IF((D52-38892)*0.05&gt;0,(D52-38892)*0.05,0)</f>
        <v>1012.3799999999997</v>
      </c>
      <c r="G30" s="104">
        <f ca="1">IF(E30&gt;F30,E30-F30,0)</f>
        <v>0</v>
      </c>
      <c r="H30" s="97"/>
      <c r="I30" s="97"/>
      <c r="K30" s="85"/>
      <c r="L30" s="103"/>
      <c r="Q30" s="4"/>
      <c r="R30" s="102"/>
    </row>
    <row r="31" spans="1:29" x14ac:dyDescent="0.25">
      <c r="A31" s="203" t="s">
        <v>29</v>
      </c>
      <c r="B31" s="95">
        <f ca="1">C31/12</f>
        <v>0</v>
      </c>
      <c r="C31" s="95">
        <f ca="1">IF(C15&gt;F34,C15-F34,0)</f>
        <v>0</v>
      </c>
      <c r="D31" s="104"/>
      <c r="E31" s="104" t="s">
        <v>74</v>
      </c>
      <c r="F31" s="104"/>
      <c r="H31" s="97"/>
      <c r="J31" s="97"/>
      <c r="K31" s="85"/>
      <c r="L31" s="103"/>
      <c r="Q31" s="4"/>
    </row>
    <row r="32" spans="1:29" x14ac:dyDescent="0.25">
      <c r="A32" s="203" t="s">
        <v>82</v>
      </c>
      <c r="B32" s="95">
        <f ca="1">E32</f>
        <v>0</v>
      </c>
      <c r="C32" s="95">
        <f ca="1">E32*12</f>
        <v>0</v>
      </c>
      <c r="D32" s="104"/>
      <c r="E32" s="104">
        <f ca="1">IF(D52&lt;39680,(0.8*1292-D52*0.3/12),0)</f>
        <v>0</v>
      </c>
      <c r="F32" s="104"/>
      <c r="H32" s="97"/>
      <c r="J32" s="97"/>
      <c r="K32" s="85"/>
      <c r="L32" s="103"/>
      <c r="Q32" s="4"/>
    </row>
    <row r="33" spans="1:17" x14ac:dyDescent="0.25">
      <c r="A33" s="94" t="s">
        <v>25</v>
      </c>
      <c r="B33" s="95">
        <f ca="1">SUM(B26:B31)</f>
        <v>744.82783333333339</v>
      </c>
      <c r="C33" s="95">
        <f ca="1">SUM(C26:C31)</f>
        <v>8937.9340000000011</v>
      </c>
      <c r="E33" s="109" t="s">
        <v>83</v>
      </c>
      <c r="F33" s="109" t="s">
        <v>84</v>
      </c>
      <c r="G33" s="109"/>
      <c r="H33" s="97"/>
      <c r="I33" s="97"/>
      <c r="L33" s="103"/>
    </row>
    <row r="34" spans="1:17" x14ac:dyDescent="0.25">
      <c r="B34" s="97"/>
      <c r="C34" s="97"/>
      <c r="E34" s="104">
        <f>15924+7885+4411*2</f>
        <v>32631</v>
      </c>
      <c r="F34" s="104">
        <f ca="1">IF(IF((D52-E34+7766*2)&lt;0,(D52-E34)*0.25,(D52-E34+7766*2)*0.5+1942*2)&gt;0,IF((D52-E34+7766*2)&lt;0,(D52-E34)*0.25,(D52-E34+7766*2)*0.5+1942*2),P11)</f>
        <v>24904.299999999996</v>
      </c>
      <c r="H34" s="97"/>
      <c r="I34" s="97"/>
      <c r="L34" s="87"/>
      <c r="M34" s="88"/>
      <c r="N34" s="88"/>
      <c r="O34" s="88"/>
      <c r="P34" s="88"/>
      <c r="Q34" s="117"/>
    </row>
    <row r="35" spans="1:17" x14ac:dyDescent="0.25">
      <c r="B35" s="97"/>
      <c r="C35" s="97"/>
      <c r="Q35" s="97"/>
    </row>
    <row r="36" spans="1:17" ht="15.6" x14ac:dyDescent="0.3">
      <c r="B36" s="86" t="s">
        <v>85</v>
      </c>
    </row>
    <row r="37" spans="1:17" ht="12.75" customHeight="1" x14ac:dyDescent="0.25">
      <c r="A37" s="82"/>
    </row>
    <row r="38" spans="1:17" ht="12.75" customHeight="1" x14ac:dyDescent="0.3">
      <c r="A38" s="118"/>
      <c r="B38" s="90"/>
      <c r="C38" s="90" t="s">
        <v>12</v>
      </c>
      <c r="D38" s="87"/>
      <c r="E38" s="87"/>
      <c r="F38" s="87"/>
      <c r="G38" s="87"/>
      <c r="H38" s="87"/>
      <c r="I38" s="87"/>
    </row>
    <row r="39" spans="1:17" x14ac:dyDescent="0.25">
      <c r="A39" s="94" t="s">
        <v>31</v>
      </c>
      <c r="B39" s="95"/>
      <c r="C39" s="95">
        <f ca="1">C33+D57</f>
        <v>66861.428646240005</v>
      </c>
      <c r="H39" s="97"/>
      <c r="I39" s="97"/>
    </row>
    <row r="40" spans="1:17" x14ac:dyDescent="0.25">
      <c r="A40" s="94" t="s">
        <v>32</v>
      </c>
      <c r="B40" s="95"/>
      <c r="C40" s="95">
        <f>C20</f>
        <v>66847.033325636905</v>
      </c>
      <c r="H40" s="97"/>
      <c r="I40" s="97"/>
    </row>
    <row r="41" spans="1:17" x14ac:dyDescent="0.25">
      <c r="A41" s="94" t="s">
        <v>33</v>
      </c>
      <c r="B41" s="95"/>
      <c r="C41" s="95">
        <f ca="1">C39-C40</f>
        <v>14.395320603100117</v>
      </c>
      <c r="H41" s="97"/>
      <c r="I41" s="97"/>
    </row>
    <row r="42" spans="1:17" x14ac:dyDescent="0.25">
      <c r="B42" s="97"/>
      <c r="C42" s="97"/>
      <c r="H42" s="97"/>
      <c r="I42" s="97"/>
    </row>
    <row r="43" spans="1:17" x14ac:dyDescent="0.25">
      <c r="B43" s="97"/>
      <c r="C43" s="97"/>
      <c r="E43" s="97"/>
      <c r="H43" s="97"/>
      <c r="I43" s="97"/>
    </row>
    <row r="44" spans="1:17" ht="15.6" x14ac:dyDescent="0.3">
      <c r="B44" s="119" t="s">
        <v>86</v>
      </c>
    </row>
    <row r="45" spans="1:17" x14ac:dyDescent="0.25">
      <c r="B45" s="87"/>
    </row>
    <row r="46" spans="1:17" s="103" customFormat="1" x14ac:dyDescent="0.25">
      <c r="A46" s="90"/>
      <c r="B46" s="90" t="s">
        <v>34</v>
      </c>
      <c r="C46" s="90" t="s">
        <v>87</v>
      </c>
      <c r="D46" s="90" t="s">
        <v>25</v>
      </c>
      <c r="F46" s="81"/>
      <c r="G46" s="81"/>
      <c r="H46" s="81"/>
      <c r="I46" s="120"/>
    </row>
    <row r="47" spans="1:17" x14ac:dyDescent="0.25">
      <c r="A47" s="94" t="s">
        <v>35</v>
      </c>
      <c r="B47" s="94">
        <v>35</v>
      </c>
      <c r="C47" s="121">
        <v>35</v>
      </c>
      <c r="D47" s="94">
        <f>B47+C47</f>
        <v>70</v>
      </c>
      <c r="I47" s="97"/>
    </row>
    <row r="48" spans="1:17" x14ac:dyDescent="0.25">
      <c r="A48" s="94" t="s">
        <v>36</v>
      </c>
      <c r="B48" s="122">
        <v>18.34</v>
      </c>
      <c r="C48" s="123">
        <f>B48</f>
        <v>18.34</v>
      </c>
      <c r="D48" s="94"/>
      <c r="I48" s="97"/>
    </row>
    <row r="49" spans="1:18" ht="1.5" customHeight="1" x14ac:dyDescent="0.25">
      <c r="A49" s="89"/>
      <c r="B49" s="89">
        <v>12.05</v>
      </c>
      <c r="C49" s="90"/>
      <c r="D49" s="89"/>
      <c r="I49" s="117"/>
    </row>
    <row r="50" spans="1:18" x14ac:dyDescent="0.25">
      <c r="A50" s="94" t="s">
        <v>37</v>
      </c>
      <c r="B50" s="95">
        <f>B48*B47*52</f>
        <v>33378.799999999996</v>
      </c>
      <c r="C50" s="95">
        <f>C48*C47*52</f>
        <v>33378.799999999996</v>
      </c>
      <c r="D50" s="95">
        <f>B50+C50</f>
        <v>66757.599999999991</v>
      </c>
      <c r="F50" s="109" t="s">
        <v>88</v>
      </c>
      <c r="I50" s="97"/>
      <c r="K50" s="109" t="s">
        <v>88</v>
      </c>
    </row>
    <row r="51" spans="1:18" x14ac:dyDescent="0.25">
      <c r="A51" s="94" t="s">
        <v>38</v>
      </c>
      <c r="B51" s="95">
        <f ca="1">C31-C15</f>
        <v>-7618</v>
      </c>
      <c r="C51" s="95"/>
      <c r="D51" s="95">
        <f ca="1">B51+C51</f>
        <v>-7618</v>
      </c>
      <c r="F51" s="109" t="s">
        <v>89</v>
      </c>
      <c r="G51" s="109" t="s">
        <v>90</v>
      </c>
      <c r="H51" s="109" t="s">
        <v>91</v>
      </c>
      <c r="I51" s="109" t="s">
        <v>92</v>
      </c>
      <c r="K51" s="109" t="s">
        <v>89</v>
      </c>
      <c r="L51" s="109" t="s">
        <v>93</v>
      </c>
      <c r="M51" s="109" t="s">
        <v>94</v>
      </c>
      <c r="N51" s="109" t="s">
        <v>95</v>
      </c>
      <c r="O51" s="109" t="s">
        <v>96</v>
      </c>
      <c r="P51" s="109" t="s">
        <v>97</v>
      </c>
      <c r="Q51" s="109" t="s">
        <v>98</v>
      </c>
      <c r="R51" s="106" t="s">
        <v>163</v>
      </c>
    </row>
    <row r="52" spans="1:18" x14ac:dyDescent="0.25">
      <c r="A52" s="94" t="s">
        <v>39</v>
      </c>
      <c r="B52" s="95">
        <f ca="1">B50+B51</f>
        <v>25760.799999999996</v>
      </c>
      <c r="C52" s="95">
        <f>C50+C51</f>
        <v>33378.799999999996</v>
      </c>
      <c r="D52" s="95">
        <f t="shared" ref="D52:D58" ca="1" si="0">B52+C52</f>
        <v>59139.599999999991</v>
      </c>
      <c r="F52" s="124">
        <v>1</v>
      </c>
      <c r="G52" s="104">
        <f ca="1">B52*0.15</f>
        <v>3864.119999999999</v>
      </c>
      <c r="H52" s="104">
        <f ca="1">(L52+B53+B54+M52+N52)*0.15</f>
        <v>2824.1333460000001</v>
      </c>
      <c r="I52" s="104">
        <f ca="1">IF(O52&gt;0, O52,0)+P52+Q52</f>
        <v>720</v>
      </c>
      <c r="K52" s="124">
        <v>1</v>
      </c>
      <c r="L52" s="97">
        <v>13808</v>
      </c>
      <c r="M52" s="97">
        <v>1257</v>
      </c>
      <c r="N52" s="97">
        <f ca="1">IF(C17-B52*0.03&gt;0,C17-B52*0.03,0)</f>
        <v>1606.7760000000001</v>
      </c>
      <c r="O52" s="97">
        <f>MAX(IF((D50-3000)*0.27&lt;2403,(D50-3000)*0.27,2403)-IF(D50-26177&gt;0,D50-26177,0)*0.15,0)</f>
        <v>0</v>
      </c>
      <c r="P52" s="97">
        <f ca="1">IF((0.25*N52 - 0.05*(D52-28446))&gt;0,(0.25*N52 - 0.05*(D52-28446)),0)</f>
        <v>0</v>
      </c>
      <c r="Q52" s="81">
        <f>360+180+90+90</f>
        <v>720</v>
      </c>
    </row>
    <row r="53" spans="1:18" x14ac:dyDescent="0.25">
      <c r="A53" s="203" t="s">
        <v>40</v>
      </c>
      <c r="B53" s="95">
        <f>IF(B50*0.0158&lt;889.54,B50*0.0158,889.54)</f>
        <v>527.38504</v>
      </c>
      <c r="C53" s="95">
        <f>IF(C50*0.0158&lt;889.54,C50*0.0158,889.54)</f>
        <v>527.38504</v>
      </c>
      <c r="D53" s="95">
        <f t="shared" si="0"/>
        <v>1054.77008</v>
      </c>
      <c r="F53" s="124">
        <v>2</v>
      </c>
      <c r="G53" s="104">
        <f>C52*0.15</f>
        <v>5006.8199999999988</v>
      </c>
      <c r="H53" s="104">
        <f>(L53+C53+C54+M53+C18+R53)*0.15</f>
        <v>3110.5979460000003</v>
      </c>
      <c r="I53" s="97"/>
      <c r="K53" s="124">
        <v>2</v>
      </c>
      <c r="L53" s="97">
        <v>13808</v>
      </c>
      <c r="M53" s="97">
        <v>1257</v>
      </c>
      <c r="O53" s="97"/>
      <c r="P53" s="97"/>
      <c r="R53" s="81">
        <v>1608.27</v>
      </c>
    </row>
    <row r="54" spans="1:18" x14ac:dyDescent="0.25">
      <c r="A54" s="203" t="s">
        <v>41</v>
      </c>
      <c r="B54" s="95">
        <f>IF(((B50-3500)*0.0545)&lt;3166.45,(B50-3500)*0.0545,3166.45)</f>
        <v>1628.3945999999999</v>
      </c>
      <c r="C54" s="95">
        <f>IF(((C50-3500)*0.0545)&lt;3166.45,(C50-3500)*0.0545,3166.45)</f>
        <v>1628.3945999999999</v>
      </c>
      <c r="D54" s="95">
        <f t="shared" si="0"/>
        <v>3256.7891999999997</v>
      </c>
    </row>
    <row r="55" spans="1:18" x14ac:dyDescent="0.25">
      <c r="A55" s="203" t="s">
        <v>42</v>
      </c>
      <c r="B55" s="95">
        <f ca="1">IF(G52-H52&lt;0,0,G52-H52)-I52</f>
        <v>319.98665399999891</v>
      </c>
      <c r="C55" s="95">
        <f>IF(G53-H53&lt;0,0,G53-H53)</f>
        <v>1896.2220539999985</v>
      </c>
      <c r="D55" s="95">
        <f t="shared" ca="1" si="0"/>
        <v>2216.2087079999974</v>
      </c>
      <c r="E55" s="106"/>
      <c r="F55" s="109" t="s">
        <v>99</v>
      </c>
      <c r="I55" s="97"/>
      <c r="K55" s="109" t="s">
        <v>99</v>
      </c>
    </row>
    <row r="56" spans="1:18" x14ac:dyDescent="0.25">
      <c r="A56" s="203" t="s">
        <v>43</v>
      </c>
      <c r="B56" s="95">
        <f ca="1">IF(G57-H57&lt;0,0,G57-H57)-I57</f>
        <v>1302.7223908799997</v>
      </c>
      <c r="C56" s="95">
        <f ca="1">IF(G58-H58&lt;0,0,G58-H58)-I58</f>
        <v>1003.6149748799994</v>
      </c>
      <c r="D56" s="95">
        <f t="shared" ca="1" si="0"/>
        <v>2306.3373657599991</v>
      </c>
      <c r="E56" s="104"/>
      <c r="F56" s="109" t="s">
        <v>89</v>
      </c>
      <c r="G56" s="109" t="s">
        <v>90</v>
      </c>
      <c r="H56" s="109" t="s">
        <v>91</v>
      </c>
      <c r="I56" s="109" t="s">
        <v>100</v>
      </c>
      <c r="K56" s="109" t="s">
        <v>89</v>
      </c>
      <c r="L56" s="109" t="s">
        <v>93</v>
      </c>
      <c r="M56" s="109" t="s">
        <v>101</v>
      </c>
      <c r="N56" s="109" t="s">
        <v>102</v>
      </c>
      <c r="O56" s="109" t="s">
        <v>95</v>
      </c>
      <c r="P56" s="109" t="s">
        <v>103</v>
      </c>
      <c r="Q56" s="109" t="s">
        <v>104</v>
      </c>
    </row>
    <row r="57" spans="1:18" x14ac:dyDescent="0.25">
      <c r="A57" s="94" t="s">
        <v>44</v>
      </c>
      <c r="B57" s="95">
        <f ca="1">B50-SUM(B53:B56)</f>
        <v>29600.311315119998</v>
      </c>
      <c r="C57" s="95">
        <f ca="1">C50-SUM(C53:C56)</f>
        <v>28323.183331119999</v>
      </c>
      <c r="D57" s="95">
        <f t="shared" ca="1" si="0"/>
        <v>57923.494646239997</v>
      </c>
      <c r="E57" s="97"/>
      <c r="F57" s="124">
        <v>1</v>
      </c>
      <c r="G57" s="104">
        <f ca="1">IF(B52&lt;33723,B52*0.108,(B52-33723)*0.1275+(33723*0.108))</f>
        <v>2782.1663999999996</v>
      </c>
      <c r="H57" s="104">
        <f ca="1">(L57+B53+B54+N57+O57)*0.108</f>
        <v>1479.4440091199999</v>
      </c>
      <c r="I57" s="104">
        <v>0</v>
      </c>
      <c r="K57" s="124">
        <v>1</v>
      </c>
      <c r="L57" s="97">
        <v>9936</v>
      </c>
      <c r="M57" s="97"/>
      <c r="N57" s="97">
        <f ca="1">IF(2065-B52*0.09&gt;0,2065-B52*0.09,0)</f>
        <v>0</v>
      </c>
      <c r="O57" s="97">
        <f ca="1">IF(C17-B52*0.03&gt;0,C17-B52*0.03,0)</f>
        <v>1606.7760000000001</v>
      </c>
      <c r="P57" s="97"/>
    </row>
    <row r="58" spans="1:18" x14ac:dyDescent="0.25">
      <c r="A58" s="94" t="s">
        <v>45</v>
      </c>
      <c r="B58" s="95">
        <f ca="1">B57/12</f>
        <v>2466.6926095933331</v>
      </c>
      <c r="C58" s="95">
        <f ca="1">C57/12</f>
        <v>2360.2652775933334</v>
      </c>
      <c r="D58" s="95">
        <f t="shared" ca="1" si="0"/>
        <v>4826.957887186667</v>
      </c>
      <c r="F58" s="124">
        <v>2</v>
      </c>
      <c r="G58" s="104">
        <f>IF(C52&lt;33723,C52*0.108,(C52-33723)*0.1275+(33723*0.108))</f>
        <v>3604.9103999999993</v>
      </c>
      <c r="H58" s="104">
        <f>(L58+C53+C54+M58+N58)*0.108</f>
        <v>2076.2954251199999</v>
      </c>
      <c r="I58" s="104">
        <f ca="1">P58+Q58</f>
        <v>525</v>
      </c>
      <c r="K58" s="124">
        <v>2</v>
      </c>
      <c r="L58" s="97">
        <v>9936</v>
      </c>
      <c r="M58" s="97">
        <f>1608.27+120*8</f>
        <v>2568.27</v>
      </c>
      <c r="N58" s="97">
        <f>IF(2065+2752*2-C52*0.09&gt;0,2065+2752*2-C52*0.09,0)</f>
        <v>4564.9080000000004</v>
      </c>
      <c r="P58" s="97">
        <f ca="1">IF(195+195+26+26-(D52*0.01)&gt;0,195+195+26+26-(D52*0.01),0)</f>
        <v>0</v>
      </c>
      <c r="Q58" s="97">
        <f ca="1">525-(IF(C32&gt;525,525,C32))</f>
        <v>525</v>
      </c>
    </row>
    <row r="59" spans="1:18" x14ac:dyDescent="0.25">
      <c r="B59" s="97"/>
      <c r="C59" s="97"/>
      <c r="D59" s="97"/>
    </row>
    <row r="60" spans="1:18" x14ac:dyDescent="0.25">
      <c r="B60" s="97"/>
      <c r="C60" s="97"/>
      <c r="D60" s="97"/>
    </row>
    <row r="61" spans="1:18" s="88" customFormat="1" ht="15.6" x14ac:dyDescent="0.3">
      <c r="B61" s="86" t="s">
        <v>105</v>
      </c>
    </row>
    <row r="63" spans="1:18" x14ac:dyDescent="0.25">
      <c r="A63" s="81" t="s">
        <v>106</v>
      </c>
      <c r="D63" s="97">
        <f>D50</f>
        <v>66757.599999999991</v>
      </c>
    </row>
    <row r="64" spans="1:18" x14ac:dyDescent="0.25">
      <c r="A64" s="81" t="s">
        <v>107</v>
      </c>
      <c r="D64" s="97">
        <f ca="1">SUM(B53:B56)+SUM(C53:C56)</f>
        <v>8834.1053537599964</v>
      </c>
    </row>
    <row r="65" spans="1:9" x14ac:dyDescent="0.25">
      <c r="A65" s="81" t="s">
        <v>108</v>
      </c>
      <c r="D65" s="97">
        <f ca="1">D63-D64</f>
        <v>57923.494646239997</v>
      </c>
    </row>
    <row r="66" spans="1:9" x14ac:dyDescent="0.25">
      <c r="A66" s="81" t="s">
        <v>109</v>
      </c>
      <c r="D66" s="97">
        <f ca="1">C33</f>
        <v>8937.9340000000011</v>
      </c>
    </row>
    <row r="67" spans="1:9" x14ac:dyDescent="0.25">
      <c r="A67" s="81" t="s">
        <v>110</v>
      </c>
      <c r="D67" s="97">
        <f ca="1">D65+D66</f>
        <v>66861.428646240005</v>
      </c>
    </row>
    <row r="68" spans="1:9" x14ac:dyDescent="0.25">
      <c r="A68" s="81" t="s">
        <v>111</v>
      </c>
      <c r="D68" s="97">
        <f>C20</f>
        <v>66847.033325636905</v>
      </c>
    </row>
    <row r="69" spans="1:9" x14ac:dyDescent="0.25">
      <c r="A69" s="81" t="s">
        <v>112</v>
      </c>
      <c r="D69" s="97">
        <f ca="1">D67-D68</f>
        <v>14.395320603100117</v>
      </c>
    </row>
    <row r="71" spans="1:9" ht="12.75" customHeight="1" x14ac:dyDescent="0.3">
      <c r="C71" s="86"/>
      <c r="E71" s="86"/>
      <c r="F71" s="86"/>
      <c r="G71" s="86"/>
      <c r="H71" s="86"/>
      <c r="I71" s="86"/>
    </row>
    <row r="72" spans="1:9" x14ac:dyDescent="0.25">
      <c r="B72" s="97"/>
    </row>
    <row r="73" spans="1:9" x14ac:dyDescent="0.25">
      <c r="A73" s="88"/>
      <c r="B73" s="103"/>
      <c r="C73" s="103"/>
      <c r="D73" s="103"/>
      <c r="E73" s="88"/>
      <c r="F73" s="88"/>
      <c r="G73" s="88"/>
      <c r="H73" s="88"/>
      <c r="I73" s="88"/>
    </row>
    <row r="74" spans="1:9" x14ac:dyDescent="0.25">
      <c r="B74" s="97"/>
      <c r="C74" s="125"/>
      <c r="D74" s="97"/>
    </row>
    <row r="75" spans="1:9" ht="15" x14ac:dyDescent="0.25">
      <c r="A75" s="82"/>
      <c r="B75" s="97"/>
      <c r="C75" s="125"/>
      <c r="D75" s="97"/>
    </row>
    <row r="76" spans="1:9" x14ac:dyDescent="0.25">
      <c r="B76" s="97"/>
      <c r="C76" s="126"/>
    </row>
    <row r="77" spans="1:9" x14ac:dyDescent="0.25">
      <c r="B77" s="97"/>
      <c r="C77" s="126"/>
    </row>
    <row r="78" spans="1:9" x14ac:dyDescent="0.25">
      <c r="B78" s="87"/>
      <c r="C78" s="87"/>
      <c r="D78" s="87"/>
      <c r="E78" s="87"/>
      <c r="F78" s="87"/>
    </row>
    <row r="79" spans="1:9" x14ac:dyDescent="0.25">
      <c r="B79" s="87"/>
      <c r="C79" s="87"/>
      <c r="D79" s="87"/>
      <c r="E79" s="87"/>
      <c r="F79" s="87"/>
    </row>
    <row r="80" spans="1:9" x14ac:dyDescent="0.25">
      <c r="B80" s="87"/>
      <c r="C80" s="87"/>
      <c r="D80" s="87"/>
      <c r="E80" s="87"/>
      <c r="F80" s="87"/>
    </row>
    <row r="81" spans="2:6" x14ac:dyDescent="0.25">
      <c r="D81" s="107"/>
      <c r="E81" s="107"/>
      <c r="F81" s="16"/>
    </row>
    <row r="82" spans="2:6" x14ac:dyDescent="0.25">
      <c r="D82" s="107"/>
      <c r="E82" s="107"/>
      <c r="F82" s="16"/>
    </row>
    <row r="83" spans="2:6" x14ac:dyDescent="0.25">
      <c r="D83" s="107"/>
      <c r="E83" s="107"/>
      <c r="F83" s="16"/>
    </row>
    <row r="84" spans="2:6" x14ac:dyDescent="0.25">
      <c r="D84" s="107"/>
      <c r="E84" s="107"/>
      <c r="F84" s="16"/>
    </row>
    <row r="87" spans="2:6" x14ac:dyDescent="0.25">
      <c r="B87" s="87"/>
      <c r="C87" s="87"/>
      <c r="D87" s="87"/>
      <c r="E87" s="87"/>
      <c r="F87" s="87"/>
    </row>
    <row r="88" spans="2:6" x14ac:dyDescent="0.25">
      <c r="B88" s="87"/>
      <c r="C88" s="87"/>
      <c r="D88" s="87"/>
      <c r="E88" s="87"/>
      <c r="F88" s="87"/>
    </row>
    <row r="89" spans="2:6" x14ac:dyDescent="0.25">
      <c r="B89" s="87"/>
      <c r="C89" s="87"/>
      <c r="D89" s="87"/>
      <c r="E89" s="87"/>
      <c r="F89" s="87"/>
    </row>
    <row r="90" spans="2:6" x14ac:dyDescent="0.25">
      <c r="D90" s="107"/>
      <c r="E90" s="107"/>
      <c r="F90" s="16"/>
    </row>
    <row r="91" spans="2:6" x14ac:dyDescent="0.25">
      <c r="D91" s="107"/>
      <c r="E91" s="107"/>
      <c r="F91" s="16"/>
    </row>
    <row r="92" spans="2:6" x14ac:dyDescent="0.25">
      <c r="D92" s="107"/>
      <c r="E92" s="107"/>
      <c r="F92" s="16"/>
    </row>
    <row r="93" spans="2:6" x14ac:dyDescent="0.25">
      <c r="D93" s="107"/>
      <c r="E93" s="107"/>
      <c r="F93" s="16"/>
    </row>
    <row r="94" spans="2:6" x14ac:dyDescent="0.25">
      <c r="B94" s="97"/>
      <c r="C94" s="125"/>
    </row>
    <row r="95" spans="2:6" x14ac:dyDescent="0.25">
      <c r="B95" s="97"/>
      <c r="C95" s="97"/>
      <c r="D95" s="97"/>
    </row>
    <row r="96" spans="2:6" x14ac:dyDescent="0.25">
      <c r="B96" s="97"/>
      <c r="C96" s="126"/>
    </row>
    <row r="97" spans="2:6" x14ac:dyDescent="0.25">
      <c r="B97" s="97"/>
      <c r="C97" s="126"/>
    </row>
    <row r="98" spans="2:6" x14ac:dyDescent="0.25">
      <c r="B98" s="87"/>
      <c r="C98" s="87"/>
      <c r="D98" s="87"/>
      <c r="E98" s="87"/>
      <c r="F98" s="87"/>
    </row>
    <row r="99" spans="2:6" x14ac:dyDescent="0.25">
      <c r="B99" s="87"/>
      <c r="C99" s="87"/>
      <c r="D99" s="87"/>
      <c r="E99" s="87"/>
      <c r="F99" s="87"/>
    </row>
    <row r="100" spans="2:6" x14ac:dyDescent="0.25">
      <c r="B100" s="87"/>
      <c r="C100" s="87"/>
      <c r="D100" s="87"/>
      <c r="E100" s="87"/>
      <c r="F100" s="87"/>
    </row>
    <row r="101" spans="2:6" x14ac:dyDescent="0.25">
      <c r="D101" s="107"/>
      <c r="E101" s="107"/>
      <c r="F101" s="16"/>
    </row>
    <row r="102" spans="2:6" x14ac:dyDescent="0.25">
      <c r="D102" s="107"/>
      <c r="E102" s="107"/>
      <c r="F102" s="16"/>
    </row>
    <row r="103" spans="2:6" x14ac:dyDescent="0.25">
      <c r="D103" s="107"/>
      <c r="E103" s="107"/>
      <c r="F103" s="16"/>
    </row>
    <row r="104" spans="2:6" x14ac:dyDescent="0.25">
      <c r="D104" s="107"/>
      <c r="E104" s="107"/>
      <c r="F104" s="16"/>
    </row>
    <row r="107" spans="2:6" x14ac:dyDescent="0.25">
      <c r="B107" s="87"/>
      <c r="C107" s="87"/>
      <c r="D107" s="87"/>
      <c r="E107" s="87"/>
      <c r="F107" s="87"/>
    </row>
    <row r="108" spans="2:6" x14ac:dyDescent="0.25">
      <c r="B108" s="87"/>
      <c r="C108" s="87"/>
      <c r="D108" s="87"/>
      <c r="E108" s="87"/>
      <c r="F108" s="87"/>
    </row>
    <row r="109" spans="2:6" x14ac:dyDescent="0.25">
      <c r="B109" s="87"/>
      <c r="C109" s="87"/>
      <c r="D109" s="87"/>
      <c r="E109" s="87"/>
      <c r="F109" s="87"/>
    </row>
    <row r="110" spans="2:6" x14ac:dyDescent="0.25">
      <c r="D110" s="107"/>
      <c r="E110" s="107"/>
      <c r="F110" s="16"/>
    </row>
    <row r="111" spans="2:6" x14ac:dyDescent="0.25">
      <c r="D111" s="107"/>
      <c r="E111" s="107"/>
      <c r="F111" s="16"/>
    </row>
    <row r="112" spans="2:6" x14ac:dyDescent="0.25">
      <c r="D112" s="107"/>
      <c r="E112" s="107"/>
      <c r="F112" s="16"/>
    </row>
    <row r="113" spans="4:6" x14ac:dyDescent="0.25">
      <c r="D113" s="107"/>
      <c r="E113" s="107"/>
      <c r="F113" s="16"/>
    </row>
  </sheetData>
  <printOptions gridLines="1"/>
  <pageMargins left="0.75" right="0.5" top="0.5" bottom="0.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3"/>
  <sheetViews>
    <sheetView workbookViewId="0">
      <selection activeCell="C11" sqref="C11"/>
    </sheetView>
  </sheetViews>
  <sheetFormatPr defaultColWidth="8.5546875" defaultRowHeight="13.2" x14ac:dyDescent="0.25"/>
  <cols>
    <col min="1" max="1" width="22.5546875" style="81" customWidth="1"/>
    <col min="2" max="2" width="8.5546875" style="81"/>
    <col min="3" max="3" width="10.44140625" style="81" customWidth="1"/>
    <col min="4" max="4" width="8.5546875" style="81"/>
    <col min="5" max="5" width="10.5546875" style="81" customWidth="1"/>
    <col min="6" max="6" width="12.44140625" style="81" customWidth="1"/>
    <col min="7" max="7" width="12.21875" style="81" customWidth="1"/>
    <col min="8" max="8" width="14" style="81" customWidth="1"/>
    <col min="9" max="9" width="8.44140625" style="81" customWidth="1"/>
    <col min="10" max="10" width="8.5546875" style="81"/>
    <col min="11" max="11" width="25" style="81" customWidth="1"/>
    <col min="12" max="12" width="24.5546875" style="81" customWidth="1"/>
    <col min="13" max="13" width="23.77734375" style="81" customWidth="1"/>
    <col min="14" max="14" width="23.21875" style="81" customWidth="1"/>
    <col min="15" max="16" width="10.5546875" style="81" customWidth="1"/>
    <col min="17" max="17" width="8.5546875" style="81"/>
    <col min="18" max="18" width="8" style="81" customWidth="1"/>
    <col min="19" max="19" width="7.44140625" style="81" customWidth="1"/>
    <col min="20" max="16384" width="8.5546875" style="81"/>
  </cols>
  <sheetData>
    <row r="1" spans="1:20" ht="17.399999999999999" x14ac:dyDescent="0.3">
      <c r="A1" s="80" t="s">
        <v>113</v>
      </c>
      <c r="B1" s="80"/>
      <c r="K1" s="199"/>
      <c r="M1" s="199"/>
    </row>
    <row r="2" spans="1:20" s="82" customFormat="1" ht="15" customHeight="1" x14ac:dyDescent="0.3">
      <c r="B2" s="82" t="s">
        <v>47</v>
      </c>
      <c r="D2" s="83"/>
      <c r="E2" s="84"/>
      <c r="L2" s="81"/>
      <c r="M2" s="198"/>
      <c r="N2" s="197"/>
    </row>
    <row r="3" spans="1:20" ht="15.6" x14ac:dyDescent="0.3">
      <c r="A3" s="85" t="s">
        <v>48</v>
      </c>
      <c r="C3" s="82"/>
      <c r="D3" s="83"/>
      <c r="E3" s="84"/>
      <c r="F3" s="82"/>
      <c r="G3" s="82"/>
      <c r="H3" s="82"/>
      <c r="I3" s="82"/>
      <c r="J3" s="82"/>
      <c r="K3" s="199"/>
    </row>
    <row r="4" spans="1:20" ht="12.75" customHeight="1" x14ac:dyDescent="0.3">
      <c r="A4" s="82"/>
      <c r="C4" s="82"/>
      <c r="D4" s="83"/>
      <c r="E4" s="84"/>
      <c r="F4" s="82"/>
      <c r="G4" s="82"/>
      <c r="H4" s="82"/>
      <c r="I4" s="82"/>
      <c r="J4" s="82"/>
      <c r="K4" s="199"/>
    </row>
    <row r="5" spans="1:20" ht="15.6" x14ac:dyDescent="0.3">
      <c r="B5" s="86" t="s">
        <v>49</v>
      </c>
    </row>
    <row r="6" spans="1:20" ht="12.75" customHeight="1" x14ac:dyDescent="0.3">
      <c r="C6" s="86"/>
      <c r="J6" s="87"/>
      <c r="L6" s="87"/>
      <c r="M6" s="88"/>
      <c r="N6" s="88"/>
      <c r="O6" s="88"/>
      <c r="P6" s="88"/>
      <c r="Q6" s="88"/>
      <c r="R6" s="88"/>
      <c r="T6" s="4"/>
    </row>
    <row r="7" spans="1:20" x14ac:dyDescent="0.25">
      <c r="A7" s="89" t="s">
        <v>11</v>
      </c>
      <c r="B7" s="90" t="s">
        <v>50</v>
      </c>
      <c r="C7" s="90" t="s">
        <v>12</v>
      </c>
      <c r="D7" s="91" t="s">
        <v>51</v>
      </c>
      <c r="E7" s="91" t="s">
        <v>52</v>
      </c>
      <c r="F7" s="87"/>
      <c r="G7" s="87"/>
      <c r="H7" s="92" t="s">
        <v>53</v>
      </c>
      <c r="I7" s="93">
        <f>D50</f>
        <v>58786</v>
      </c>
      <c r="J7" s="87"/>
      <c r="K7" s="81" t="s">
        <v>54</v>
      </c>
      <c r="L7" s="81" t="s">
        <v>55</v>
      </c>
      <c r="M7" s="81" t="s">
        <v>56</v>
      </c>
      <c r="N7" s="81" t="s">
        <v>57</v>
      </c>
      <c r="O7" s="81" t="s">
        <v>58</v>
      </c>
      <c r="P7" s="81" t="s">
        <v>59</v>
      </c>
      <c r="T7" s="4"/>
    </row>
    <row r="8" spans="1:20" x14ac:dyDescent="0.25">
      <c r="A8" s="94" t="s">
        <v>13</v>
      </c>
      <c r="B8" s="95"/>
      <c r="C8" s="95"/>
      <c r="D8" s="96" t="s">
        <v>60</v>
      </c>
      <c r="E8" s="91" t="s">
        <v>61</v>
      </c>
      <c r="G8" s="97"/>
      <c r="H8" s="98" t="s">
        <v>62</v>
      </c>
      <c r="I8" s="93">
        <f ca="1">C33</f>
        <v>9746.39</v>
      </c>
      <c r="J8" s="97"/>
      <c r="K8" s="81" t="s">
        <v>63</v>
      </c>
      <c r="L8" s="81">
        <v>243</v>
      </c>
      <c r="M8" s="81">
        <v>20.8</v>
      </c>
      <c r="N8" s="81">
        <f>L8*M8</f>
        <v>5054.4000000000005</v>
      </c>
      <c r="O8" s="81">
        <v>2</v>
      </c>
      <c r="P8" s="81">
        <f>O8*L8</f>
        <v>486</v>
      </c>
      <c r="Q8" s="4"/>
      <c r="T8" s="4"/>
    </row>
    <row r="9" spans="1:20" x14ac:dyDescent="0.25">
      <c r="A9" s="94" t="s">
        <v>14</v>
      </c>
      <c r="B9" s="95">
        <f>C9/12</f>
        <v>889.90609179415844</v>
      </c>
      <c r="C9" s="200">
        <f>0.912*11377*148/143.8</f>
        <v>10678.873101529902</v>
      </c>
      <c r="D9" s="5">
        <f>C9/C20</f>
        <v>0.17385449697063218</v>
      </c>
      <c r="E9" s="5">
        <f>C9/D50</f>
        <v>0.18165673972595348</v>
      </c>
      <c r="F9" s="99"/>
      <c r="G9" s="97"/>
      <c r="H9" s="100" t="s">
        <v>64</v>
      </c>
      <c r="I9" s="101">
        <f ca="1">I7+I8</f>
        <v>68532.39</v>
      </c>
      <c r="J9" s="87"/>
      <c r="K9" s="81" t="s">
        <v>65</v>
      </c>
      <c r="L9" s="81">
        <v>186</v>
      </c>
      <c r="M9" s="81">
        <v>8.6</v>
      </c>
      <c r="N9" s="81">
        <f>L9*M9</f>
        <v>1599.6</v>
      </c>
      <c r="O9" s="81">
        <v>2</v>
      </c>
      <c r="P9" s="81">
        <f>O9*L9</f>
        <v>372</v>
      </c>
      <c r="Q9" s="4"/>
      <c r="R9" s="102"/>
      <c r="T9" s="4"/>
    </row>
    <row r="10" spans="1:20" x14ac:dyDescent="0.25">
      <c r="A10" s="94" t="s">
        <v>15</v>
      </c>
      <c r="B10" s="95">
        <f>C10/12</f>
        <v>173.62459893048131</v>
      </c>
      <c r="C10" s="95">
        <f>2042*(95.4/93.5)</f>
        <v>2083.4951871657759</v>
      </c>
      <c r="D10" s="5">
        <f>C10/C20</f>
        <v>3.3919778263264991E-2</v>
      </c>
      <c r="E10" s="5">
        <f>C10/D50</f>
        <v>3.5442030197083932E-2</v>
      </c>
      <c r="F10" s="202"/>
      <c r="H10" s="103"/>
      <c r="I10" s="103"/>
      <c r="J10" s="97"/>
      <c r="K10" s="81" t="s">
        <v>66</v>
      </c>
      <c r="L10" s="81">
        <v>45</v>
      </c>
      <c r="M10" s="81">
        <v>20.8</v>
      </c>
      <c r="N10" s="81">
        <f>L10*M10</f>
        <v>936</v>
      </c>
      <c r="O10" s="81">
        <v>1.8</v>
      </c>
      <c r="P10" s="81">
        <f>O10*L10</f>
        <v>81</v>
      </c>
      <c r="Q10" s="4"/>
      <c r="R10" s="102"/>
      <c r="T10" s="4"/>
    </row>
    <row r="11" spans="1:20" x14ac:dyDescent="0.25">
      <c r="A11" s="94" t="s">
        <v>16</v>
      </c>
      <c r="B11" s="95">
        <f>C11/12</f>
        <v>1577.7967885288965</v>
      </c>
      <c r="C11" s="97">
        <f>(1495*12)+(487.63*(158.1/114.2))+(26.54*12)</f>
        <v>18933.561462346759</v>
      </c>
      <c r="D11" s="5">
        <f>C11/C20</f>
        <v>0.30824271181078666</v>
      </c>
      <c r="E11" s="5">
        <f>C11/D50</f>
        <v>0.32207602936663082</v>
      </c>
      <c r="F11" s="199"/>
      <c r="G11" s="97"/>
      <c r="H11" s="85" t="s">
        <v>67</v>
      </c>
      <c r="I11" s="104">
        <f ca="1">B55+C55+B56+C56</f>
        <v>3507.5117864000003</v>
      </c>
      <c r="J11" s="87"/>
      <c r="K11" s="81" t="s">
        <v>25</v>
      </c>
      <c r="N11" s="81">
        <f>SUM(N8:N10)</f>
        <v>7590</v>
      </c>
      <c r="P11" s="81">
        <f>SUM(P8:P10)</f>
        <v>939</v>
      </c>
      <c r="Q11" s="4"/>
      <c r="R11" s="102"/>
      <c r="T11" s="4"/>
    </row>
    <row r="12" spans="1:20" x14ac:dyDescent="0.25">
      <c r="A12" s="94" t="s">
        <v>17</v>
      </c>
      <c r="B12" s="95">
        <f>C12/12</f>
        <v>506.97024031489536</v>
      </c>
      <c r="C12" s="95">
        <f>(12*102.05)+(4850*161.2/160.9)</f>
        <v>6083.6428837787444</v>
      </c>
      <c r="D12" s="5">
        <f>C12/C20</f>
        <v>9.9043097829938032E-2</v>
      </c>
      <c r="E12" s="5">
        <f>C11/D50</f>
        <v>0.32207602936663082</v>
      </c>
      <c r="F12" s="99"/>
      <c r="H12" s="104" t="s">
        <v>68</v>
      </c>
      <c r="I12" s="104">
        <f ca="1">C33</f>
        <v>9746.39</v>
      </c>
      <c r="J12" s="4"/>
      <c r="K12" s="81" t="s">
        <v>69</v>
      </c>
      <c r="N12" s="81">
        <f>11*3.5*26</f>
        <v>1001</v>
      </c>
      <c r="Q12" s="4"/>
      <c r="R12" s="102"/>
      <c r="T12" s="4"/>
    </row>
    <row r="13" spans="1:20" x14ac:dyDescent="0.25">
      <c r="A13" s="94" t="s">
        <v>18</v>
      </c>
      <c r="B13" s="95">
        <f>C13/12</f>
        <v>801.9021408063785</v>
      </c>
      <c r="C13" s="95">
        <f>0.754*(C9+C10)</f>
        <v>9622.8256896765415</v>
      </c>
      <c r="D13" s="5">
        <f>C13/C20</f>
        <v>0.15666180352635847</v>
      </c>
      <c r="E13" s="5">
        <f>C13/D50</f>
        <v>0.16369247252197022</v>
      </c>
      <c r="G13" s="97"/>
      <c r="H13" s="101" t="s">
        <v>70</v>
      </c>
      <c r="I13" s="101">
        <f ca="1">I11-I12</f>
        <v>-6238.8782135999991</v>
      </c>
      <c r="J13" s="97"/>
      <c r="K13" s="97"/>
      <c r="L13" s="103"/>
      <c r="Q13" s="4"/>
      <c r="R13" s="102"/>
      <c r="T13" s="4"/>
    </row>
    <row r="14" spans="1:20" s="106" customFormat="1" x14ac:dyDescent="0.25">
      <c r="A14" s="96" t="s">
        <v>19</v>
      </c>
      <c r="B14" s="105">
        <f>SUM(B9:B13)</f>
        <v>3950.1998603748102</v>
      </c>
      <c r="C14" s="105">
        <f>SUM(C9:C13)</f>
        <v>47402.398324497728</v>
      </c>
      <c r="D14" s="6">
        <f>C14/C20</f>
        <v>0.77172188840098044</v>
      </c>
      <c r="E14" s="6">
        <f>C14/D50</f>
        <v>0.80635522615074551</v>
      </c>
      <c r="G14" s="101"/>
      <c r="H14" s="104" t="s">
        <v>71</v>
      </c>
      <c r="I14" s="104">
        <f>B53+C53+B54+C54</f>
        <v>3593.4191999999994</v>
      </c>
      <c r="J14" s="101"/>
      <c r="K14" s="101"/>
      <c r="L14" s="103"/>
      <c r="M14" s="81"/>
      <c r="N14" s="81"/>
      <c r="O14" s="81"/>
      <c r="P14" s="81"/>
      <c r="Q14" s="4"/>
      <c r="R14" s="102"/>
      <c r="S14" s="81"/>
      <c r="T14" s="4"/>
    </row>
    <row r="15" spans="1:20" x14ac:dyDescent="0.25">
      <c r="A15" s="94" t="s">
        <v>20</v>
      </c>
      <c r="B15" s="95">
        <f>C15/12</f>
        <v>632.5</v>
      </c>
      <c r="C15" s="95">
        <f>N11</f>
        <v>7590</v>
      </c>
      <c r="D15" s="5">
        <f>C15/C20</f>
        <v>0.12356693627327148</v>
      </c>
      <c r="E15" s="5">
        <f>C15/D50</f>
        <v>0.12911237369441703</v>
      </c>
      <c r="G15" s="97"/>
      <c r="H15" s="106" t="s">
        <v>72</v>
      </c>
      <c r="I15" s="101">
        <f ca="1">I13+I14</f>
        <v>-2645.4590135999997</v>
      </c>
      <c r="J15" s="97"/>
      <c r="K15" s="97"/>
      <c r="L15" s="103"/>
      <c r="M15" s="107"/>
      <c r="N15" s="107"/>
      <c r="O15" s="107"/>
      <c r="Q15" s="4"/>
      <c r="R15" s="102"/>
      <c r="T15" s="4"/>
    </row>
    <row r="16" spans="1:20" x14ac:dyDescent="0.25">
      <c r="A16" s="94" t="s">
        <v>21</v>
      </c>
      <c r="B16" s="95">
        <f>C16/12</f>
        <v>0</v>
      </c>
      <c r="C16" s="95">
        <v>0</v>
      </c>
      <c r="D16" s="108">
        <f>C16/C20</f>
        <v>0</v>
      </c>
      <c r="E16" s="108">
        <f>C16/D50</f>
        <v>0</v>
      </c>
      <c r="H16" s="97"/>
      <c r="I16" s="97"/>
      <c r="J16" s="97"/>
      <c r="K16" s="97"/>
      <c r="L16" s="103"/>
      <c r="Q16" s="4"/>
      <c r="R16" s="102"/>
      <c r="T16" s="4"/>
    </row>
    <row r="17" spans="1:29" x14ac:dyDescent="0.25">
      <c r="A17" s="94" t="s">
        <v>22</v>
      </c>
      <c r="B17" s="95">
        <f>C17/12</f>
        <v>198.29999999999998</v>
      </c>
      <c r="C17" s="95">
        <f>(75.15+61.35+41.35+20.45)*12</f>
        <v>2379.6</v>
      </c>
      <c r="D17" s="5">
        <f>C17/C20</f>
        <v>3.8740432352552936E-2</v>
      </c>
      <c r="E17" s="5">
        <f>C17/D50</f>
        <v>4.0479025618344502E-2</v>
      </c>
      <c r="G17" s="101"/>
      <c r="I17" s="97"/>
      <c r="J17" s="97"/>
      <c r="K17" s="97"/>
      <c r="L17" s="103"/>
      <c r="Q17" s="4"/>
      <c r="R17" s="102"/>
      <c r="T17" s="4"/>
    </row>
    <row r="18" spans="1:29" x14ac:dyDescent="0.25">
      <c r="A18" s="94" t="s">
        <v>23</v>
      </c>
      <c r="B18" s="95">
        <f>C18/12</f>
        <v>149.26666666666668</v>
      </c>
      <c r="C18" s="95">
        <v>1791.2</v>
      </c>
      <c r="D18" s="5">
        <f>C18/C20</f>
        <v>2.9161145751341749E-2</v>
      </c>
      <c r="E18" s="5">
        <f>C18/D50</f>
        <v>3.0469839757765457E-2</v>
      </c>
      <c r="F18" s="109"/>
      <c r="G18" s="110"/>
      <c r="H18" s="110"/>
      <c r="I18" s="110"/>
      <c r="J18" s="110"/>
      <c r="K18" s="110"/>
      <c r="L18" s="103"/>
      <c r="Q18" s="4"/>
      <c r="R18" s="102"/>
      <c r="T18" s="4"/>
    </row>
    <row r="19" spans="1:29" x14ac:dyDescent="0.25">
      <c r="A19" s="94" t="s">
        <v>24</v>
      </c>
      <c r="B19" s="95">
        <f>C19/12</f>
        <v>188.41666666666666</v>
      </c>
      <c r="C19" s="95">
        <f>B47*B48*2*2</f>
        <v>2261</v>
      </c>
      <c r="D19" s="5">
        <f>C19/C20</f>
        <v>3.6809597221853334E-2</v>
      </c>
      <c r="E19" s="5">
        <f>C19/D50</f>
        <v>3.8461538461538464E-2</v>
      </c>
      <c r="F19" s="109"/>
      <c r="G19" s="110"/>
      <c r="H19" s="110"/>
      <c r="I19" s="110"/>
      <c r="J19" s="110"/>
      <c r="K19" s="110"/>
      <c r="L19" s="103"/>
      <c r="Q19" s="4"/>
      <c r="R19" s="102"/>
      <c r="T19" s="4"/>
    </row>
    <row r="20" spans="1:29" x14ac:dyDescent="0.25">
      <c r="A20" s="94" t="s">
        <v>25</v>
      </c>
      <c r="B20" s="95">
        <f>SUM(B9:B19)-B14</f>
        <v>5118.6831937081424</v>
      </c>
      <c r="C20" s="95">
        <f>SUM(C9:C19)-C14</f>
        <v>61424.198324497731</v>
      </c>
      <c r="D20" s="5">
        <f>C20/C20</f>
        <v>1</v>
      </c>
      <c r="E20" s="5">
        <f>SUM(E9:E18)-E14</f>
        <v>1.2250045402487966</v>
      </c>
      <c r="F20" s="104"/>
      <c r="G20" s="104"/>
      <c r="H20" s="104"/>
      <c r="I20" s="104"/>
      <c r="J20" s="104"/>
      <c r="K20" s="7"/>
      <c r="L20" s="103"/>
      <c r="Q20" s="4"/>
      <c r="R20" s="102"/>
      <c r="T20" s="4"/>
    </row>
    <row r="21" spans="1:29" x14ac:dyDescent="0.25">
      <c r="B21" s="97"/>
      <c r="C21" s="97"/>
      <c r="D21" s="97"/>
      <c r="E21" s="97"/>
      <c r="F21" s="97"/>
      <c r="G21" s="97"/>
      <c r="H21" s="4"/>
      <c r="I21" s="97"/>
      <c r="J21" s="104"/>
      <c r="K21" s="97"/>
      <c r="L21" s="103"/>
      <c r="Q21" s="4"/>
      <c r="R21" s="102"/>
      <c r="T21" s="4"/>
    </row>
    <row r="22" spans="1:29" x14ac:dyDescent="0.25">
      <c r="B22" s="97"/>
      <c r="C22" s="97"/>
      <c r="L22" s="103"/>
      <c r="Q22" s="4"/>
      <c r="R22" s="102"/>
      <c r="T22" s="4"/>
    </row>
    <row r="23" spans="1:29" ht="15.6" x14ac:dyDescent="0.3">
      <c r="B23" s="86" t="s">
        <v>73</v>
      </c>
      <c r="L23" s="103"/>
      <c r="Q23" s="4"/>
      <c r="R23" s="102"/>
    </row>
    <row r="24" spans="1:29" ht="12.75" customHeight="1" x14ac:dyDescent="0.3">
      <c r="C24" s="86"/>
      <c r="L24" s="103"/>
      <c r="Q24" s="4"/>
      <c r="R24" s="102"/>
    </row>
    <row r="25" spans="1:29" x14ac:dyDescent="0.25">
      <c r="A25" s="111" t="s">
        <v>61</v>
      </c>
      <c r="B25" s="90" t="s">
        <v>50</v>
      </c>
      <c r="C25" s="90" t="s">
        <v>12</v>
      </c>
      <c r="D25" s="87"/>
      <c r="E25" s="109"/>
      <c r="F25" s="109"/>
      <c r="G25" s="109"/>
      <c r="H25" s="112"/>
      <c r="I25" s="87"/>
      <c r="J25" s="109"/>
      <c r="L25" s="103"/>
      <c r="Q25" s="4"/>
      <c r="R25" s="102"/>
    </row>
    <row r="26" spans="1:29" x14ac:dyDescent="0.25">
      <c r="A26" s="94"/>
      <c r="B26" s="113"/>
      <c r="C26" s="113"/>
      <c r="E26" s="8"/>
      <c r="F26" s="9"/>
      <c r="G26" s="9"/>
      <c r="H26" s="9"/>
      <c r="I26" s="104"/>
      <c r="J26" s="104"/>
      <c r="K26" s="85"/>
      <c r="L26" s="103"/>
      <c r="Q26" s="4"/>
      <c r="R26" s="102"/>
    </row>
    <row r="27" spans="1:29" x14ac:dyDescent="0.25">
      <c r="A27" s="94"/>
      <c r="B27" s="95"/>
      <c r="C27" s="95"/>
      <c r="E27" s="109" t="s">
        <v>74</v>
      </c>
      <c r="F27" s="109" t="s">
        <v>75</v>
      </c>
      <c r="G27" s="109" t="s">
        <v>76</v>
      </c>
      <c r="H27" s="112" t="s">
        <v>77</v>
      </c>
      <c r="K27" s="85"/>
      <c r="L27" s="103"/>
      <c r="Q27" s="4"/>
      <c r="R27" s="102"/>
    </row>
    <row r="28" spans="1:29" ht="17.100000000000001" customHeight="1" x14ac:dyDescent="0.25">
      <c r="A28" s="114" t="s">
        <v>27</v>
      </c>
      <c r="B28" s="113">
        <f ca="1">C28/12</f>
        <v>794.22833333333335</v>
      </c>
      <c r="C28" s="113">
        <f ca="1">MAX(0,E28)</f>
        <v>9530.74</v>
      </c>
      <c r="D28" s="92"/>
      <c r="E28" s="8">
        <f ca="1">IF((D52)&lt;F28,(5602+6639),IF((D52)&lt;G28,(5602+6639-(D52-F28)*0.135),(5602+6639-(G28-F28)*0.135-(D52-G28)*0.057-4901)))</f>
        <v>9530.74</v>
      </c>
      <c r="F28" s="9">
        <v>31120</v>
      </c>
      <c r="G28" s="9">
        <v>67426</v>
      </c>
      <c r="H28" s="115">
        <f>(6765+5708-(G28-F28)*0.135)/0.057+G28</f>
        <v>200262.66666666666</v>
      </c>
      <c r="K28" s="114"/>
      <c r="L28" s="113"/>
      <c r="M28" s="113"/>
      <c r="N28" s="113"/>
      <c r="O28" s="116"/>
      <c r="Q28" s="103"/>
      <c r="R28" s="97"/>
      <c r="S28" s="97"/>
      <c r="T28" s="97"/>
      <c r="U28" s="4"/>
      <c r="V28" s="102"/>
      <c r="X28" s="103"/>
      <c r="AB28" s="4"/>
      <c r="AC28" s="102"/>
    </row>
    <row r="29" spans="1:29" x14ac:dyDescent="0.25">
      <c r="A29" s="94" t="s">
        <v>78</v>
      </c>
      <c r="B29" s="95">
        <f>C29/12</f>
        <v>0</v>
      </c>
      <c r="C29" s="95">
        <v>0</v>
      </c>
      <c r="E29" s="109" t="s">
        <v>79</v>
      </c>
      <c r="F29" s="109" t="s">
        <v>80</v>
      </c>
      <c r="G29" s="109" t="s">
        <v>81</v>
      </c>
      <c r="H29" s="97"/>
      <c r="I29" s="97"/>
      <c r="L29" s="103"/>
      <c r="Q29" s="4"/>
      <c r="R29" s="102"/>
    </row>
    <row r="30" spans="1:29" x14ac:dyDescent="0.25">
      <c r="A30" s="94" t="s">
        <v>28</v>
      </c>
      <c r="B30" s="95">
        <f ca="1">C30/12</f>
        <v>17.970833333333331</v>
      </c>
      <c r="C30" s="95">
        <f ca="1">G30</f>
        <v>215.64999999999998</v>
      </c>
      <c r="E30" s="104">
        <f>290+290+153+153</f>
        <v>886</v>
      </c>
      <c r="F30" s="85">
        <f ca="1">IF((D52-37789)*0.05&gt;0,(D52-37789)*0.05,0)</f>
        <v>670.35</v>
      </c>
      <c r="G30" s="104">
        <f ca="1">IF(E30&gt;F30,E30-F30,0)</f>
        <v>215.64999999999998</v>
      </c>
      <c r="H30" s="97"/>
      <c r="I30" s="97"/>
      <c r="K30" s="85"/>
      <c r="L30" s="103"/>
      <c r="Q30" s="4"/>
      <c r="R30" s="102"/>
    </row>
    <row r="31" spans="1:29" x14ac:dyDescent="0.25">
      <c r="A31" s="94" t="s">
        <v>29</v>
      </c>
      <c r="B31" s="95">
        <f ca="1">C31/12</f>
        <v>0</v>
      </c>
      <c r="C31" s="95">
        <f ca="1">IF(C15&gt;F34,C15-F34,0)</f>
        <v>0</v>
      </c>
      <c r="D31" s="104"/>
      <c r="E31" s="104" t="s">
        <v>74</v>
      </c>
      <c r="F31" s="104"/>
      <c r="H31" s="97"/>
      <c r="J31" s="97"/>
      <c r="K31" s="85"/>
      <c r="L31" s="103"/>
      <c r="Q31" s="4"/>
    </row>
    <row r="32" spans="1:29" x14ac:dyDescent="0.25">
      <c r="A32" s="94" t="s">
        <v>82</v>
      </c>
      <c r="B32" s="95">
        <f ca="1">E32</f>
        <v>0</v>
      </c>
      <c r="C32" s="95">
        <f ca="1">E32*12</f>
        <v>0</v>
      </c>
      <c r="D32" s="104"/>
      <c r="E32" s="104">
        <f ca="1">IF(D52&lt;35840,(0.75*1375-D52*0.3/12),0)</f>
        <v>0</v>
      </c>
      <c r="F32" s="104"/>
      <c r="H32" s="97"/>
      <c r="J32" s="97"/>
      <c r="K32" s="85"/>
      <c r="L32" s="103"/>
      <c r="Q32" s="4"/>
    </row>
    <row r="33" spans="1:17" x14ac:dyDescent="0.25">
      <c r="A33" s="94" t="s">
        <v>25</v>
      </c>
      <c r="B33" s="95">
        <f ca="1">SUM(B26:B31)</f>
        <v>812.19916666666666</v>
      </c>
      <c r="C33" s="95">
        <f ca="1">SUM(C26:C31)</f>
        <v>9746.39</v>
      </c>
      <c r="E33" s="109" t="s">
        <v>83</v>
      </c>
      <c r="F33" s="109" t="s">
        <v>84</v>
      </c>
      <c r="G33" s="109"/>
      <c r="H33" s="97"/>
      <c r="I33" s="97"/>
      <c r="L33" s="103"/>
    </row>
    <row r="34" spans="1:17" x14ac:dyDescent="0.25">
      <c r="B34" s="97"/>
      <c r="C34" s="97"/>
      <c r="E34" s="104">
        <f>10982+5438+3042*2</f>
        <v>22504</v>
      </c>
      <c r="F34" s="104">
        <f ca="1">IF(IF((D52-E34+5356*2)&lt;0,(D52-E34)*0.25,(D52-E34+5356*2)*0.5+1339*2)&gt;0,IF((D52-E34+5356*2)&lt;0,(D52-E34)*0.25,(D52-E34+5356*2)*0.5+1339*2),P11)</f>
        <v>22380</v>
      </c>
      <c r="H34" s="97"/>
      <c r="I34" s="97"/>
      <c r="L34" s="87"/>
      <c r="M34" s="88"/>
      <c r="N34" s="88"/>
      <c r="O34" s="88"/>
      <c r="P34" s="88"/>
      <c r="Q34" s="117"/>
    </row>
    <row r="35" spans="1:17" x14ac:dyDescent="0.25">
      <c r="B35" s="97"/>
      <c r="C35" s="97"/>
      <c r="Q35" s="97"/>
    </row>
    <row r="36" spans="1:17" ht="15.6" x14ac:dyDescent="0.3">
      <c r="B36" s="86" t="s">
        <v>85</v>
      </c>
    </row>
    <row r="37" spans="1:17" ht="12.75" customHeight="1" x14ac:dyDescent="0.25">
      <c r="A37" s="82"/>
    </row>
    <row r="38" spans="1:17" ht="12.75" customHeight="1" x14ac:dyDescent="0.3">
      <c r="A38" s="118"/>
      <c r="B38" s="90"/>
      <c r="C38" s="90" t="s">
        <v>12</v>
      </c>
      <c r="D38" s="87"/>
      <c r="E38" s="87"/>
      <c r="F38" s="87"/>
      <c r="G38" s="87"/>
      <c r="H38" s="87"/>
      <c r="I38" s="87"/>
    </row>
    <row r="39" spans="1:17" x14ac:dyDescent="0.25">
      <c r="A39" s="94" t="s">
        <v>31</v>
      </c>
      <c r="B39" s="95"/>
      <c r="C39" s="95">
        <f ca="1">C33+D57</f>
        <v>61431.459013600004</v>
      </c>
      <c r="H39" s="97"/>
      <c r="I39" s="97"/>
    </row>
    <row r="40" spans="1:17" x14ac:dyDescent="0.25">
      <c r="A40" s="94" t="s">
        <v>32</v>
      </c>
      <c r="B40" s="95"/>
      <c r="C40" s="95">
        <f>C20</f>
        <v>61424.198324497731</v>
      </c>
      <c r="H40" s="97"/>
      <c r="I40" s="97"/>
    </row>
    <row r="41" spans="1:17" x14ac:dyDescent="0.25">
      <c r="A41" s="94" t="s">
        <v>33</v>
      </c>
      <c r="B41" s="95"/>
      <c r="C41" s="95">
        <f ca="1">C39-C40</f>
        <v>7.260689102273318</v>
      </c>
      <c r="H41" s="97"/>
      <c r="I41" s="97"/>
    </row>
    <row r="42" spans="1:17" x14ac:dyDescent="0.25">
      <c r="B42" s="97"/>
      <c r="C42" s="97"/>
      <c r="H42" s="97"/>
      <c r="I42" s="97"/>
    </row>
    <row r="43" spans="1:17" x14ac:dyDescent="0.25">
      <c r="B43" s="97"/>
      <c r="C43" s="97"/>
      <c r="E43" s="97"/>
      <c r="H43" s="97"/>
      <c r="I43" s="97"/>
    </row>
    <row r="44" spans="1:17" ht="15.6" x14ac:dyDescent="0.3">
      <c r="B44" s="119" t="s">
        <v>86</v>
      </c>
    </row>
    <row r="45" spans="1:17" x14ac:dyDescent="0.25">
      <c r="B45" s="87"/>
    </row>
    <row r="46" spans="1:17" s="103" customFormat="1" x14ac:dyDescent="0.25">
      <c r="A46" s="90"/>
      <c r="B46" s="90" t="s">
        <v>34</v>
      </c>
      <c r="C46" s="90" t="s">
        <v>87</v>
      </c>
      <c r="D46" s="90" t="s">
        <v>25</v>
      </c>
      <c r="F46" s="81"/>
      <c r="G46" s="81"/>
      <c r="H46" s="81"/>
      <c r="I46" s="120"/>
    </row>
    <row r="47" spans="1:17" x14ac:dyDescent="0.25">
      <c r="A47" s="94" t="s">
        <v>35</v>
      </c>
      <c r="B47" s="94">
        <v>35</v>
      </c>
      <c r="C47" s="121">
        <v>35</v>
      </c>
      <c r="D47" s="94">
        <f>B47+C47</f>
        <v>70</v>
      </c>
      <c r="I47" s="97"/>
    </row>
    <row r="48" spans="1:17" x14ac:dyDescent="0.25">
      <c r="A48" s="94" t="s">
        <v>36</v>
      </c>
      <c r="B48" s="122">
        <v>16.149999999999999</v>
      </c>
      <c r="C48" s="123">
        <f>B48</f>
        <v>16.149999999999999</v>
      </c>
      <c r="D48" s="94"/>
      <c r="I48" s="97"/>
    </row>
    <row r="49" spans="1:17" ht="1.5" customHeight="1" x14ac:dyDescent="0.25">
      <c r="A49" s="89"/>
      <c r="B49" s="89">
        <v>12.05</v>
      </c>
      <c r="C49" s="90"/>
      <c r="D49" s="89"/>
      <c r="I49" s="117"/>
    </row>
    <row r="50" spans="1:17" x14ac:dyDescent="0.25">
      <c r="A50" s="94" t="s">
        <v>37</v>
      </c>
      <c r="B50" s="95">
        <f>B48*B47*52</f>
        <v>29393</v>
      </c>
      <c r="C50" s="95">
        <f>C48*C47*52</f>
        <v>29393</v>
      </c>
      <c r="D50" s="95">
        <f>B50+C50</f>
        <v>58786</v>
      </c>
      <c r="F50" s="109" t="s">
        <v>88</v>
      </c>
      <c r="I50" s="97"/>
      <c r="K50" s="109" t="s">
        <v>88</v>
      </c>
    </row>
    <row r="51" spans="1:17" x14ac:dyDescent="0.25">
      <c r="A51" s="94" t="s">
        <v>38</v>
      </c>
      <c r="B51" s="95">
        <f ca="1">C31-C15</f>
        <v>-7590</v>
      </c>
      <c r="C51" s="95"/>
      <c r="D51" s="95">
        <f ca="1">B51+C51</f>
        <v>-7590</v>
      </c>
      <c r="F51" s="109" t="s">
        <v>89</v>
      </c>
      <c r="G51" s="109" t="s">
        <v>90</v>
      </c>
      <c r="H51" s="109" t="s">
        <v>91</v>
      </c>
      <c r="I51" s="109" t="s">
        <v>92</v>
      </c>
      <c r="K51" s="109" t="s">
        <v>89</v>
      </c>
      <c r="L51" s="109" t="s">
        <v>93</v>
      </c>
      <c r="M51" s="109" t="s">
        <v>94</v>
      </c>
      <c r="N51" s="109" t="s">
        <v>95</v>
      </c>
      <c r="O51" s="109" t="s">
        <v>96</v>
      </c>
      <c r="P51" s="109" t="s">
        <v>97</v>
      </c>
      <c r="Q51" s="109" t="s">
        <v>98</v>
      </c>
    </row>
    <row r="52" spans="1:17" x14ac:dyDescent="0.25">
      <c r="A52" s="94" t="s">
        <v>39</v>
      </c>
      <c r="B52" s="95">
        <f ca="1">B50+B51</f>
        <v>21803</v>
      </c>
      <c r="C52" s="95">
        <f>C50+C51</f>
        <v>29393</v>
      </c>
      <c r="D52" s="95">
        <f t="shared" ref="D52:D58" ca="1" si="0">B52+C52</f>
        <v>51196</v>
      </c>
      <c r="F52" s="124">
        <v>1</v>
      </c>
      <c r="G52" s="104">
        <f ca="1">B52*0.15</f>
        <v>3270.45</v>
      </c>
      <c r="H52" s="104">
        <f ca="1">(L52+B53+B54+M52+N52)*0.15</f>
        <v>2521.9829399999999</v>
      </c>
      <c r="I52" s="104">
        <f ca="1">IF(O52&gt;0, O52,0)+P52+Q52</f>
        <v>486</v>
      </c>
      <c r="K52" s="124">
        <v>1</v>
      </c>
      <c r="L52" s="97">
        <v>12069</v>
      </c>
      <c r="M52" s="97">
        <v>1222</v>
      </c>
      <c r="N52" s="97">
        <f ca="1">IF(C17-B52*0.03&gt;0,C17-B52*0.03,0)</f>
        <v>1725.5099999999998</v>
      </c>
      <c r="O52" s="97">
        <f>IF((D50-3000)*0.26&lt;2335,(D50-3000)*0.26,2335)-IF(D50-17025&gt;0,D50-17025,0)*0.12</f>
        <v>-2676.3199999999997</v>
      </c>
      <c r="P52" s="97">
        <f ca="1">IF((0.25*N52 - 0.05*(D52-27044))&gt;0,(0.25*N52 - 0.05*(D52-27044)),0)</f>
        <v>0</v>
      </c>
      <c r="Q52" s="81">
        <f>243+121+61+61</f>
        <v>486</v>
      </c>
    </row>
    <row r="53" spans="1:17" x14ac:dyDescent="0.25">
      <c r="A53" s="94" t="s">
        <v>40</v>
      </c>
      <c r="B53" s="95">
        <f>IF(B50*0.0162&lt;860.22,B50*0.0162,860.22)</f>
        <v>476.16659999999996</v>
      </c>
      <c r="C53" s="95">
        <f>C50*0.0162</f>
        <v>476.16659999999996</v>
      </c>
      <c r="D53" s="95">
        <f t="shared" si="0"/>
        <v>952.33319999999992</v>
      </c>
      <c r="F53" s="124">
        <v>2</v>
      </c>
      <c r="G53" s="104">
        <f>C52*0.15</f>
        <v>4408.95</v>
      </c>
      <c r="H53" s="104">
        <f>(L53+C53+C54+M53+C18)*0.15</f>
        <v>2531.8364399999996</v>
      </c>
      <c r="I53" s="97"/>
      <c r="K53" s="124">
        <v>2</v>
      </c>
      <c r="L53" s="97">
        <v>12069</v>
      </c>
      <c r="M53" s="97">
        <v>1222</v>
      </c>
      <c r="O53" s="97"/>
      <c r="P53" s="97"/>
    </row>
    <row r="54" spans="1:17" x14ac:dyDescent="0.25">
      <c r="A54" s="94" t="s">
        <v>41</v>
      </c>
      <c r="B54" s="95">
        <f>IF(((B50-3500)*0.051)&lt;2748.9,(B50-3500)*0.051,2748.9)</f>
        <v>1320.5429999999999</v>
      </c>
      <c r="C54" s="95">
        <f>IF(((C50-3500)*0.051)&lt;2748.9,(C50-3500)*0.051,2748.9)</f>
        <v>1320.5429999999999</v>
      </c>
      <c r="D54" s="95">
        <f t="shared" si="0"/>
        <v>2641.0859999999998</v>
      </c>
    </row>
    <row r="55" spans="1:17" x14ac:dyDescent="0.25">
      <c r="A55" s="94" t="s">
        <v>42</v>
      </c>
      <c r="B55" s="95">
        <f ca="1">IF(G52-H52&lt;0,0,G52-H52)-I52</f>
        <v>262.46705999999995</v>
      </c>
      <c r="C55" s="95">
        <f>IF(G53-H53&lt;0,0,G53-H53)</f>
        <v>1877.1135600000002</v>
      </c>
      <c r="D55" s="95">
        <f t="shared" ca="1" si="0"/>
        <v>2139.5806200000002</v>
      </c>
      <c r="E55" s="106"/>
      <c r="F55" s="109" t="s">
        <v>99</v>
      </c>
      <c r="I55" s="97"/>
      <c r="K55" s="109" t="s">
        <v>99</v>
      </c>
    </row>
    <row r="56" spans="1:17" x14ac:dyDescent="0.25">
      <c r="A56" s="94" t="s">
        <v>43</v>
      </c>
      <c r="B56" s="95">
        <f ca="1">IF(G57-H57&lt;0,0,G57-H57)-I57</f>
        <v>923.62144320000016</v>
      </c>
      <c r="C56" s="95">
        <f ca="1">IF(G58-H58&lt;0,0,G58-H58)-I58</f>
        <v>444.30972320000001</v>
      </c>
      <c r="D56" s="95">
        <f t="shared" ca="1" si="0"/>
        <v>1367.9311664000002</v>
      </c>
      <c r="E56" s="104"/>
      <c r="F56" s="109" t="s">
        <v>89</v>
      </c>
      <c r="G56" s="109" t="s">
        <v>90</v>
      </c>
      <c r="H56" s="109" t="s">
        <v>91</v>
      </c>
      <c r="I56" s="109" t="s">
        <v>100</v>
      </c>
      <c r="K56" s="109" t="s">
        <v>89</v>
      </c>
      <c r="L56" s="109" t="s">
        <v>93</v>
      </c>
      <c r="M56" s="109" t="s">
        <v>101</v>
      </c>
      <c r="N56" s="109" t="s">
        <v>102</v>
      </c>
      <c r="O56" s="109" t="s">
        <v>95</v>
      </c>
      <c r="P56" s="109" t="s">
        <v>103</v>
      </c>
      <c r="Q56" s="109" t="s">
        <v>104</v>
      </c>
    </row>
    <row r="57" spans="1:17" x14ac:dyDescent="0.25">
      <c r="A57" s="94" t="s">
        <v>44</v>
      </c>
      <c r="B57" s="95">
        <f ca="1">B50-SUM(B53:B56)</f>
        <v>26410.201896800001</v>
      </c>
      <c r="C57" s="95">
        <f ca="1">C50-SUM(C53:C56)</f>
        <v>25274.8671168</v>
      </c>
      <c r="D57" s="95">
        <f t="shared" ca="1" si="0"/>
        <v>51685.069013600005</v>
      </c>
      <c r="E57" s="97"/>
      <c r="F57" s="124">
        <v>1</v>
      </c>
      <c r="G57" s="104">
        <f ca="1">IF(B52&lt;33389,B52*0.108,(B52-33389)*0.1275+(33389*0.108))</f>
        <v>2354.7240000000002</v>
      </c>
      <c r="H57" s="104">
        <f ca="1">(L57+B53+B54+N57+O57)*0.108</f>
        <v>1431.1025568</v>
      </c>
      <c r="I57" s="104">
        <v>0</v>
      </c>
      <c r="K57" s="124">
        <v>1</v>
      </c>
      <c r="L57" s="97">
        <v>9626</v>
      </c>
      <c r="M57" s="97"/>
      <c r="N57" s="97">
        <f ca="1">IF(2065-B52*0.09&gt;0,2065-B52*0.09,0)</f>
        <v>102.73000000000002</v>
      </c>
      <c r="O57" s="97">
        <f ca="1">IF(C17-B52*0.03&gt;0,C17-B52*0.03,0)</f>
        <v>1725.5099999999998</v>
      </c>
      <c r="P57" s="97"/>
    </row>
    <row r="58" spans="1:17" x14ac:dyDescent="0.25">
      <c r="A58" s="94" t="s">
        <v>45</v>
      </c>
      <c r="B58" s="95">
        <f ca="1">B57/12</f>
        <v>2200.8501580666666</v>
      </c>
      <c r="C58" s="95">
        <f ca="1">C57/12</f>
        <v>2106.2389263999999</v>
      </c>
      <c r="D58" s="95">
        <f t="shared" ca="1" si="0"/>
        <v>4307.0890844666665</v>
      </c>
      <c r="F58" s="124">
        <v>2</v>
      </c>
      <c r="G58" s="104">
        <f>IF(C52&lt;33389,C52*0.108,(C52-33389)*0.1275+(33389*0.108))</f>
        <v>3174.444</v>
      </c>
      <c r="H58" s="104">
        <f>(L58+C53+C54+M58+N58)*0.108</f>
        <v>2030.1342768</v>
      </c>
      <c r="I58" s="104">
        <f ca="1">P58+Q58</f>
        <v>700</v>
      </c>
      <c r="K58" s="124">
        <v>2</v>
      </c>
      <c r="L58" s="97">
        <v>9626</v>
      </c>
      <c r="M58" s="97">
        <f>1491.2+120*8</f>
        <v>2451.1999999999998</v>
      </c>
      <c r="N58" s="97">
        <f>IF(2065+2752*2-C52*0.09&gt;0,2065+2752*2-C52*0.09,0)</f>
        <v>4923.63</v>
      </c>
      <c r="P58" s="97">
        <f ca="1">IF(195+195+26+26-(D52*0.01)&gt;0,195+195+26+26-(D52*0.01),0)</f>
        <v>0</v>
      </c>
      <c r="Q58" s="97">
        <f ca="1">700-(IF(C32&gt;700,700,C32))</f>
        <v>700</v>
      </c>
    </row>
    <row r="59" spans="1:17" x14ac:dyDescent="0.25">
      <c r="B59" s="97"/>
      <c r="C59" s="97"/>
      <c r="D59" s="97"/>
    </row>
    <row r="60" spans="1:17" x14ac:dyDescent="0.25">
      <c r="B60" s="97"/>
      <c r="C60" s="97"/>
      <c r="D60" s="97"/>
    </row>
    <row r="61" spans="1:17" s="88" customFormat="1" ht="15.6" x14ac:dyDescent="0.3">
      <c r="B61" s="86" t="s">
        <v>105</v>
      </c>
    </row>
    <row r="63" spans="1:17" x14ac:dyDescent="0.25">
      <c r="A63" s="81" t="s">
        <v>106</v>
      </c>
      <c r="D63" s="97">
        <f>D50</f>
        <v>58786</v>
      </c>
    </row>
    <row r="64" spans="1:17" x14ac:dyDescent="0.25">
      <c r="A64" s="81" t="s">
        <v>107</v>
      </c>
      <c r="D64" s="97">
        <f ca="1">SUM(B53:B56)+SUM(C53:C56)</f>
        <v>7100.9309864000006</v>
      </c>
    </row>
    <row r="65" spans="1:9" x14ac:dyDescent="0.25">
      <c r="A65" s="81" t="s">
        <v>108</v>
      </c>
      <c r="D65" s="97">
        <f ca="1">D63-D64</f>
        <v>51685.069013599998</v>
      </c>
    </row>
    <row r="66" spans="1:9" x14ac:dyDescent="0.25">
      <c r="A66" s="81" t="s">
        <v>109</v>
      </c>
      <c r="D66" s="97">
        <f ca="1">C33</f>
        <v>9746.39</v>
      </c>
    </row>
    <row r="67" spans="1:9" x14ac:dyDescent="0.25">
      <c r="A67" s="81" t="s">
        <v>110</v>
      </c>
      <c r="D67" s="97">
        <f ca="1">D65+D66</f>
        <v>61431.459013599997</v>
      </c>
    </row>
    <row r="68" spans="1:9" x14ac:dyDescent="0.25">
      <c r="A68" s="81" t="s">
        <v>111</v>
      </c>
      <c r="D68" s="97">
        <f>C20</f>
        <v>61424.198324497731</v>
      </c>
    </row>
    <row r="69" spans="1:9" x14ac:dyDescent="0.25">
      <c r="A69" s="81" t="s">
        <v>112</v>
      </c>
      <c r="D69" s="97">
        <f ca="1">D67-D68</f>
        <v>7.260689102266042</v>
      </c>
    </row>
    <row r="71" spans="1:9" ht="12.75" customHeight="1" x14ac:dyDescent="0.3">
      <c r="C71" s="86"/>
      <c r="E71" s="86"/>
      <c r="F71" s="86"/>
      <c r="G71" s="86"/>
      <c r="H71" s="86"/>
      <c r="I71" s="86"/>
    </row>
    <row r="72" spans="1:9" x14ac:dyDescent="0.25">
      <c r="B72" s="97"/>
    </row>
    <row r="73" spans="1:9" x14ac:dyDescent="0.25">
      <c r="A73" s="88"/>
      <c r="B73" s="103"/>
      <c r="C73" s="103"/>
      <c r="D73" s="103"/>
      <c r="E73" s="88"/>
      <c r="F73" s="88"/>
      <c r="G73" s="88"/>
      <c r="H73" s="88"/>
      <c r="I73" s="88"/>
    </row>
    <row r="74" spans="1:9" x14ac:dyDescent="0.25">
      <c r="B74" s="97"/>
      <c r="C74" s="125"/>
      <c r="D74" s="97"/>
    </row>
    <row r="75" spans="1:9" ht="15" x14ac:dyDescent="0.25">
      <c r="A75" s="82"/>
      <c r="B75" s="97"/>
      <c r="C75" s="125"/>
      <c r="D75" s="97"/>
    </row>
    <row r="76" spans="1:9" x14ac:dyDescent="0.25">
      <c r="B76" s="97"/>
      <c r="C76" s="126"/>
    </row>
    <row r="77" spans="1:9" x14ac:dyDescent="0.25">
      <c r="B77" s="97"/>
      <c r="C77" s="126"/>
    </row>
    <row r="78" spans="1:9" x14ac:dyDescent="0.25">
      <c r="B78" s="87"/>
      <c r="C78" s="87"/>
      <c r="D78" s="87"/>
      <c r="E78" s="87"/>
      <c r="F78" s="87"/>
    </row>
    <row r="79" spans="1:9" x14ac:dyDescent="0.25">
      <c r="B79" s="87"/>
      <c r="C79" s="87"/>
      <c r="D79" s="87"/>
      <c r="E79" s="87"/>
      <c r="F79" s="87"/>
    </row>
    <row r="80" spans="1:9" x14ac:dyDescent="0.25">
      <c r="B80" s="87"/>
      <c r="C80" s="87"/>
      <c r="D80" s="87"/>
      <c r="E80" s="87"/>
      <c r="F80" s="87"/>
    </row>
    <row r="81" spans="2:6" x14ac:dyDescent="0.25">
      <c r="D81" s="107"/>
      <c r="E81" s="107"/>
      <c r="F81" s="16"/>
    </row>
    <row r="82" spans="2:6" x14ac:dyDescent="0.25">
      <c r="D82" s="107"/>
      <c r="E82" s="107"/>
      <c r="F82" s="16"/>
    </row>
    <row r="83" spans="2:6" x14ac:dyDescent="0.25">
      <c r="D83" s="107"/>
      <c r="E83" s="107"/>
      <c r="F83" s="16"/>
    </row>
    <row r="84" spans="2:6" x14ac:dyDescent="0.25">
      <c r="D84" s="107"/>
      <c r="E84" s="107"/>
      <c r="F84" s="16"/>
    </row>
    <row r="87" spans="2:6" x14ac:dyDescent="0.25">
      <c r="B87" s="87"/>
      <c r="C87" s="87"/>
      <c r="D87" s="87"/>
      <c r="E87" s="87"/>
      <c r="F87" s="87"/>
    </row>
    <row r="88" spans="2:6" x14ac:dyDescent="0.25">
      <c r="B88" s="87"/>
      <c r="C88" s="87"/>
      <c r="D88" s="87"/>
      <c r="E88" s="87"/>
      <c r="F88" s="87"/>
    </row>
    <row r="89" spans="2:6" x14ac:dyDescent="0.25">
      <c r="B89" s="87"/>
      <c r="C89" s="87"/>
      <c r="D89" s="87"/>
      <c r="E89" s="87"/>
      <c r="F89" s="87"/>
    </row>
    <row r="90" spans="2:6" x14ac:dyDescent="0.25">
      <c r="D90" s="107"/>
      <c r="E90" s="107"/>
      <c r="F90" s="16"/>
    </row>
    <row r="91" spans="2:6" x14ac:dyDescent="0.25">
      <c r="D91" s="107"/>
      <c r="E91" s="107"/>
      <c r="F91" s="16"/>
    </row>
    <row r="92" spans="2:6" x14ac:dyDescent="0.25">
      <c r="D92" s="107"/>
      <c r="E92" s="107"/>
      <c r="F92" s="16"/>
    </row>
    <row r="93" spans="2:6" x14ac:dyDescent="0.25">
      <c r="D93" s="107"/>
      <c r="E93" s="107"/>
      <c r="F93" s="16"/>
    </row>
    <row r="94" spans="2:6" x14ac:dyDescent="0.25">
      <c r="B94" s="97"/>
      <c r="C94" s="125"/>
    </row>
    <row r="95" spans="2:6" x14ac:dyDescent="0.25">
      <c r="B95" s="97"/>
      <c r="C95" s="97"/>
      <c r="D95" s="97"/>
    </row>
    <row r="96" spans="2:6" x14ac:dyDescent="0.25">
      <c r="B96" s="97"/>
      <c r="C96" s="126"/>
    </row>
    <row r="97" spans="2:6" x14ac:dyDescent="0.25">
      <c r="B97" s="97"/>
      <c r="C97" s="126"/>
    </row>
    <row r="98" spans="2:6" x14ac:dyDescent="0.25">
      <c r="B98" s="87"/>
      <c r="C98" s="87"/>
      <c r="D98" s="87"/>
      <c r="E98" s="87"/>
      <c r="F98" s="87"/>
    </row>
    <row r="99" spans="2:6" x14ac:dyDescent="0.25">
      <c r="B99" s="87"/>
      <c r="C99" s="87"/>
      <c r="D99" s="87"/>
      <c r="E99" s="87"/>
      <c r="F99" s="87"/>
    </row>
    <row r="100" spans="2:6" x14ac:dyDescent="0.25">
      <c r="B100" s="87"/>
      <c r="C100" s="87"/>
      <c r="D100" s="87"/>
      <c r="E100" s="87"/>
      <c r="F100" s="87"/>
    </row>
    <row r="101" spans="2:6" x14ac:dyDescent="0.25">
      <c r="D101" s="107"/>
      <c r="E101" s="107"/>
      <c r="F101" s="16"/>
    </row>
    <row r="102" spans="2:6" x14ac:dyDescent="0.25">
      <c r="D102" s="107"/>
      <c r="E102" s="107"/>
      <c r="F102" s="16"/>
    </row>
    <row r="103" spans="2:6" x14ac:dyDescent="0.25">
      <c r="D103" s="107"/>
      <c r="E103" s="107"/>
      <c r="F103" s="16"/>
    </row>
    <row r="104" spans="2:6" x14ac:dyDescent="0.25">
      <c r="D104" s="107"/>
      <c r="E104" s="107"/>
      <c r="F104" s="16"/>
    </row>
    <row r="107" spans="2:6" x14ac:dyDescent="0.25">
      <c r="B107" s="87"/>
      <c r="C107" s="87"/>
      <c r="D107" s="87"/>
      <c r="E107" s="87"/>
      <c r="F107" s="87"/>
    </row>
    <row r="108" spans="2:6" x14ac:dyDescent="0.25">
      <c r="B108" s="87"/>
      <c r="C108" s="87"/>
      <c r="D108" s="87"/>
      <c r="E108" s="87"/>
      <c r="F108" s="87"/>
    </row>
    <row r="109" spans="2:6" x14ac:dyDescent="0.25">
      <c r="B109" s="87"/>
      <c r="C109" s="87"/>
      <c r="D109" s="87"/>
      <c r="E109" s="87"/>
      <c r="F109" s="87"/>
    </row>
    <row r="110" spans="2:6" x14ac:dyDescent="0.25">
      <c r="D110" s="107"/>
      <c r="E110" s="107"/>
      <c r="F110" s="16"/>
    </row>
    <row r="111" spans="2:6" x14ac:dyDescent="0.25">
      <c r="D111" s="107"/>
      <c r="E111" s="107"/>
      <c r="F111" s="16"/>
    </row>
    <row r="112" spans="2:6" x14ac:dyDescent="0.25">
      <c r="D112" s="107"/>
      <c r="E112" s="107"/>
      <c r="F112" s="16"/>
    </row>
    <row r="113" spans="4:6" x14ac:dyDescent="0.25">
      <c r="D113" s="107"/>
      <c r="E113" s="107"/>
      <c r="F113" s="16"/>
    </row>
  </sheetData>
  <printOptions gridLines="1"/>
  <pageMargins left="0.75" right="0.5" top="0.5" bottom="0.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113"/>
  <sheetViews>
    <sheetView zoomScale="75" zoomScaleNormal="75" workbookViewId="0">
      <selection activeCell="M9" sqref="M9"/>
    </sheetView>
  </sheetViews>
  <sheetFormatPr defaultColWidth="8.5546875" defaultRowHeight="13.2" x14ac:dyDescent="0.25"/>
  <cols>
    <col min="1" max="1" width="16.5546875" style="81" customWidth="1"/>
    <col min="2" max="2" width="9.5546875" style="81" bestFit="1" customWidth="1"/>
    <col min="3" max="3" width="10.44140625" style="81" customWidth="1"/>
    <col min="4" max="4" width="8.5546875" style="81"/>
    <col min="5" max="5" width="10.5546875" style="81" customWidth="1"/>
    <col min="6" max="6" width="11.21875" style="81" customWidth="1"/>
    <col min="7" max="7" width="8.5546875" style="81"/>
    <col min="8" max="8" width="12.44140625" style="81" customWidth="1"/>
    <col min="9" max="9" width="8.44140625" style="81" customWidth="1"/>
    <col min="10" max="10" width="8.5546875" style="81"/>
    <col min="11" max="11" width="17.44140625" style="81" customWidth="1"/>
    <col min="12" max="12" width="8.5546875" style="81"/>
    <col min="13" max="14" width="15.44140625" style="103" customWidth="1"/>
    <col min="15" max="15" width="8.5546875" style="81"/>
    <col min="16" max="16" width="8" style="81" customWidth="1"/>
    <col min="17" max="17" width="7.44140625" style="81" customWidth="1"/>
    <col min="18" max="16384" width="8.5546875" style="81"/>
  </cols>
  <sheetData>
    <row r="1" spans="1:20" ht="17.399999999999999" x14ac:dyDescent="0.3">
      <c r="A1" s="80" t="s">
        <v>114</v>
      </c>
      <c r="B1" s="80"/>
      <c r="M1" s="81"/>
      <c r="N1" s="81"/>
    </row>
    <row r="2" spans="1:20" s="82" customFormat="1" ht="15" customHeight="1" x14ac:dyDescent="0.3">
      <c r="C2" s="82" t="s">
        <v>115</v>
      </c>
      <c r="D2" s="83"/>
      <c r="E2" s="84"/>
      <c r="M2" s="127"/>
      <c r="N2" s="127"/>
    </row>
    <row r="3" spans="1:20" ht="15.6" x14ac:dyDescent="0.3">
      <c r="A3" s="85"/>
      <c r="C3" s="81" t="s">
        <v>116</v>
      </c>
      <c r="D3" s="83"/>
      <c r="E3" s="84"/>
      <c r="F3" s="82"/>
      <c r="G3" s="82"/>
      <c r="H3" s="82"/>
      <c r="I3" s="82"/>
      <c r="J3" s="82"/>
    </row>
    <row r="4" spans="1:20" ht="12.75" customHeight="1" x14ac:dyDescent="0.3">
      <c r="A4" s="82"/>
      <c r="C4" s="82"/>
      <c r="D4" s="83"/>
      <c r="E4" s="84"/>
      <c r="F4" s="82"/>
      <c r="G4" s="82"/>
      <c r="H4" s="82"/>
      <c r="I4" s="82"/>
      <c r="J4" s="82"/>
    </row>
    <row r="5" spans="1:20" ht="15.6" x14ac:dyDescent="0.3">
      <c r="B5" s="86" t="s">
        <v>49</v>
      </c>
      <c r="M5" s="87"/>
      <c r="N5" s="87"/>
      <c r="O5" s="88"/>
      <c r="P5" s="88"/>
      <c r="Q5" s="88"/>
    </row>
    <row r="6" spans="1:20" ht="12.75" customHeight="1" x14ac:dyDescent="0.3">
      <c r="C6" s="86"/>
      <c r="J6" s="87"/>
      <c r="K6" s="81" t="s">
        <v>117</v>
      </c>
      <c r="R6" s="4"/>
    </row>
    <row r="7" spans="1:20" x14ac:dyDescent="0.25">
      <c r="A7" s="89" t="s">
        <v>11</v>
      </c>
      <c r="B7" s="90" t="s">
        <v>50</v>
      </c>
      <c r="C7" s="90" t="s">
        <v>12</v>
      </c>
      <c r="D7" s="91" t="s">
        <v>51</v>
      </c>
      <c r="E7" s="91" t="s">
        <v>52</v>
      </c>
      <c r="F7" s="87"/>
      <c r="G7" s="87"/>
      <c r="H7" s="92" t="s">
        <v>53</v>
      </c>
      <c r="I7" s="93">
        <f>B50</f>
        <v>46009.600000000006</v>
      </c>
      <c r="J7" s="87"/>
      <c r="K7" s="81" t="s">
        <v>55</v>
      </c>
      <c r="L7" s="81" t="s">
        <v>56</v>
      </c>
      <c r="M7" s="81" t="s">
        <v>57</v>
      </c>
      <c r="N7" s="81" t="s">
        <v>58</v>
      </c>
      <c r="O7" s="81" t="s">
        <v>59</v>
      </c>
      <c r="P7" s="4"/>
    </row>
    <row r="8" spans="1:20" x14ac:dyDescent="0.25">
      <c r="A8" s="94" t="s">
        <v>13</v>
      </c>
      <c r="B8" s="95"/>
      <c r="C8" s="95"/>
      <c r="D8" s="96" t="s">
        <v>60</v>
      </c>
      <c r="E8" s="91" t="s">
        <v>61</v>
      </c>
      <c r="G8" s="97"/>
      <c r="H8" s="98" t="s">
        <v>62</v>
      </c>
      <c r="I8" s="93">
        <f ca="1">C33</f>
        <v>6990.4299999999994</v>
      </c>
      <c r="J8" s="97"/>
      <c r="K8" s="81">
        <v>243</v>
      </c>
      <c r="L8" s="81">
        <v>20.8</v>
      </c>
      <c r="M8" s="81">
        <f>K8*L8</f>
        <v>5054.4000000000005</v>
      </c>
      <c r="N8" s="81">
        <v>2</v>
      </c>
      <c r="O8" s="81">
        <f>N8*K8</f>
        <v>486</v>
      </c>
      <c r="P8" s="4"/>
      <c r="Q8" s="102"/>
    </row>
    <row r="9" spans="1:20" x14ac:dyDescent="0.25">
      <c r="A9" s="203" t="s">
        <v>14</v>
      </c>
      <c r="B9" s="95">
        <f>C9/12</f>
        <v>488.26050417495026</v>
      </c>
      <c r="C9" s="95">
        <f>((0.912*12022*(153.6/150.9))/2)*1.05</f>
        <v>5859.1260500994031</v>
      </c>
      <c r="D9" s="5">
        <f>C9/C20</f>
        <v>0.12115391914247498</v>
      </c>
      <c r="E9" s="5">
        <f>C9/B50</f>
        <v>0.12734572893699145</v>
      </c>
      <c r="F9" s="99"/>
      <c r="G9" s="97"/>
      <c r="H9" s="100" t="s">
        <v>64</v>
      </c>
      <c r="I9" s="101">
        <f ca="1">I7+I8</f>
        <v>53000.030000000006</v>
      </c>
      <c r="J9" s="87"/>
      <c r="M9" s="81">
        <f>11.95*3.5*26</f>
        <v>1087.4499999999998</v>
      </c>
      <c r="N9" s="81"/>
      <c r="P9" s="4"/>
      <c r="Q9" s="102"/>
      <c r="T9" s="4"/>
    </row>
    <row r="10" spans="1:20" x14ac:dyDescent="0.25">
      <c r="A10" s="203" t="s">
        <v>15</v>
      </c>
      <c r="B10" s="95">
        <f>C10/12</f>
        <v>120.58338575850318</v>
      </c>
      <c r="C10" s="95">
        <f>((2042*(93.7/93.5))/2)*SQRT(2)</f>
        <v>1447.0006291020381</v>
      </c>
      <c r="D10" s="5">
        <f>C10/C20</f>
        <v>2.9920809984001713E-2</v>
      </c>
      <c r="E10" s="5">
        <f>C10/B50</f>
        <v>3.1449971942856231E-2</v>
      </c>
      <c r="F10" s="99"/>
      <c r="H10" s="103"/>
      <c r="I10" s="103"/>
      <c r="J10" s="97"/>
      <c r="M10" s="81"/>
      <c r="N10" s="81"/>
      <c r="P10" s="4"/>
      <c r="Q10" s="102"/>
      <c r="T10" s="4"/>
    </row>
    <row r="11" spans="1:20" x14ac:dyDescent="0.25">
      <c r="A11" s="203" t="s">
        <v>16</v>
      </c>
      <c r="B11" s="95">
        <f>C11/12</f>
        <v>1377.1426897256276</v>
      </c>
      <c r="C11" s="95">
        <f>(1294*12)+(487.63*(163.4/114.2))+(25*12)</f>
        <v>16525.712276707531</v>
      </c>
      <c r="D11" s="5">
        <f>C11/C20</f>
        <v>0.34171560601773754</v>
      </c>
      <c r="E11" s="5">
        <f>C11/B50</f>
        <v>0.35917965547858555</v>
      </c>
      <c r="G11" s="97"/>
      <c r="H11" s="85" t="s">
        <v>67</v>
      </c>
      <c r="I11" s="104">
        <f ca="1">B55+B56</f>
        <v>1587.7719759600036</v>
      </c>
      <c r="J11" s="87"/>
      <c r="M11" s="81">
        <f>SUM(M8:M10)</f>
        <v>6141.85</v>
      </c>
      <c r="N11" s="81"/>
      <c r="P11" s="4"/>
      <c r="Q11" s="102"/>
      <c r="T11" s="4"/>
    </row>
    <row r="12" spans="1:20" x14ac:dyDescent="0.25">
      <c r="A12" s="203" t="s">
        <v>17</v>
      </c>
      <c r="B12" s="95">
        <f>C12/12</f>
        <v>442.5605562855892</v>
      </c>
      <c r="C12" s="95">
        <f>(4817*167.8/152.2)</f>
        <v>5310.7266754270704</v>
      </c>
      <c r="D12" s="5">
        <f>C12/C20</f>
        <v>0.10981421883073507</v>
      </c>
      <c r="E12" s="5">
        <f>C12/B50</f>
        <v>0.11542649089379324</v>
      </c>
      <c r="F12" s="99"/>
      <c r="H12" s="104" t="s">
        <v>68</v>
      </c>
      <c r="I12" s="104">
        <f ca="1">C33</f>
        <v>6990.4299999999994</v>
      </c>
      <c r="J12" s="4"/>
      <c r="M12" s="81"/>
      <c r="N12" s="81"/>
      <c r="P12" s="4"/>
      <c r="Q12" s="102"/>
      <c r="T12" s="4"/>
    </row>
    <row r="13" spans="1:20" x14ac:dyDescent="0.25">
      <c r="A13" s="203" t="s">
        <v>18</v>
      </c>
      <c r="B13" s="95">
        <f>C13/12</f>
        <v>694.52713727445678</v>
      </c>
      <c r="C13" s="95">
        <f>11413*(142/137.5)/2*SQRT(2)</f>
        <v>8334.3256472934809</v>
      </c>
      <c r="D13" s="5">
        <f>C13/C20</f>
        <v>0.17233563622720133</v>
      </c>
      <c r="E13" s="5">
        <f>C13/B50</f>
        <v>0.18114318853659844</v>
      </c>
      <c r="F13" s="204" t="s">
        <v>118</v>
      </c>
      <c r="H13" s="101" t="s">
        <v>70</v>
      </c>
      <c r="I13" s="101">
        <f ca="1">I11-I12</f>
        <v>-5402.6580240399962</v>
      </c>
      <c r="J13" s="97"/>
      <c r="K13" s="97"/>
      <c r="P13" s="4"/>
      <c r="Q13" s="102"/>
      <c r="T13" s="4"/>
    </row>
    <row r="14" spans="1:20" s="106" customFormat="1" x14ac:dyDescent="0.25">
      <c r="A14" s="96" t="s">
        <v>19</v>
      </c>
      <c r="B14" s="105">
        <f>SUM(B9:B13)</f>
        <v>3123.074273219127</v>
      </c>
      <c r="C14" s="105">
        <f>SUM(C9:C13)</f>
        <v>37476.891278629526</v>
      </c>
      <c r="D14" s="6">
        <f>C14/C20</f>
        <v>0.77494019020215066</v>
      </c>
      <c r="E14" s="6">
        <f>C14/B50</f>
        <v>0.81454503578882498</v>
      </c>
      <c r="G14" s="101"/>
      <c r="H14" s="104" t="s">
        <v>71</v>
      </c>
      <c r="I14" s="104">
        <f>B53+B54</f>
        <v>3043.7248800000002</v>
      </c>
      <c r="J14" s="101"/>
      <c r="K14" s="101"/>
      <c r="M14" s="103"/>
      <c r="N14" s="103"/>
      <c r="O14" s="107"/>
      <c r="P14" s="4"/>
      <c r="Q14" s="102"/>
      <c r="R14" s="81"/>
      <c r="S14" s="81"/>
      <c r="T14" s="4"/>
    </row>
    <row r="15" spans="1:20" x14ac:dyDescent="0.25">
      <c r="A15" s="203" t="s">
        <v>20</v>
      </c>
      <c r="B15" s="95">
        <f>C15/12</f>
        <v>511.82083333333338</v>
      </c>
      <c r="C15" s="95">
        <f>M11</f>
        <v>6141.85</v>
      </c>
      <c r="D15" s="5">
        <f>C15/C20</f>
        <v>0.12700003241483188</v>
      </c>
      <c r="E15" s="5">
        <f>C15/B50</f>
        <v>0.13349061934900541</v>
      </c>
      <c r="G15" s="97"/>
      <c r="H15" s="106" t="s">
        <v>72</v>
      </c>
      <c r="I15" s="101">
        <f ca="1">I13+I14</f>
        <v>-2358.933144039996</v>
      </c>
      <c r="J15" s="97"/>
      <c r="K15" s="97"/>
      <c r="P15" s="4"/>
      <c r="Q15" s="102"/>
      <c r="R15" s="106"/>
      <c r="T15" s="4"/>
    </row>
    <row r="16" spans="1:20" x14ac:dyDescent="0.25">
      <c r="A16" s="203" t="s">
        <v>21</v>
      </c>
      <c r="B16" s="95">
        <f>C16/12</f>
        <v>0</v>
      </c>
      <c r="C16" s="95">
        <v>0</v>
      </c>
      <c r="D16" s="108">
        <f>C16/C20</f>
        <v>0</v>
      </c>
      <c r="E16" s="108">
        <f>C16/B50</f>
        <v>0</v>
      </c>
      <c r="H16" s="97"/>
      <c r="I16" s="97"/>
      <c r="J16" s="97"/>
      <c r="K16" s="97"/>
      <c r="P16" s="4"/>
      <c r="Q16" s="102"/>
      <c r="T16" s="4"/>
    </row>
    <row r="17" spans="1:20" x14ac:dyDescent="0.25">
      <c r="A17" s="203" t="s">
        <v>22</v>
      </c>
      <c r="B17" s="95">
        <f>C17/12</f>
        <v>88.7</v>
      </c>
      <c r="C17" s="95">
        <f>(68.25+20.45)*12</f>
        <v>1064.4000000000001</v>
      </c>
      <c r="D17" s="5">
        <f>C17/C20</f>
        <v>2.2009465308066304E-2</v>
      </c>
      <c r="E17" s="5">
        <f>C17/B50</f>
        <v>2.3134302406454303E-2</v>
      </c>
      <c r="G17" s="97"/>
      <c r="H17" s="97"/>
      <c r="I17" s="97"/>
      <c r="J17" s="97"/>
      <c r="K17" s="97"/>
      <c r="P17" s="4"/>
      <c r="Q17" s="102"/>
      <c r="T17" s="4"/>
    </row>
    <row r="18" spans="1:20" x14ac:dyDescent="0.25">
      <c r="A18" s="203" t="s">
        <v>23</v>
      </c>
      <c r="B18" s="95">
        <f>C18/12</f>
        <v>159.02250000000001</v>
      </c>
      <c r="C18" s="95">
        <v>1908.27</v>
      </c>
      <c r="D18" s="5">
        <f>C18/C20</f>
        <v>3.94588522767979E-2</v>
      </c>
      <c r="E18" s="5">
        <f>C18/B50</f>
        <v>4.1475474683544296E-2</v>
      </c>
      <c r="G18" s="97"/>
      <c r="H18" s="97"/>
      <c r="I18" s="97"/>
      <c r="J18" s="97"/>
      <c r="K18" s="97"/>
      <c r="P18" s="4"/>
      <c r="Q18" s="102"/>
      <c r="T18" s="4"/>
    </row>
    <row r="19" spans="1:20" x14ac:dyDescent="0.25">
      <c r="A19" s="94" t="s">
        <v>24</v>
      </c>
      <c r="B19" s="95">
        <f>C19/12</f>
        <v>147.46666666666667</v>
      </c>
      <c r="C19" s="95">
        <f>B47*B48*2</f>
        <v>1769.6000000000001</v>
      </c>
      <c r="D19" s="5">
        <f>C19/C20</f>
        <v>3.6591459798153078E-2</v>
      </c>
      <c r="E19" s="5">
        <f>C19/B50</f>
        <v>3.8461538461538457E-2</v>
      </c>
      <c r="G19" s="97"/>
      <c r="H19" s="97"/>
      <c r="I19" s="97"/>
      <c r="J19" s="97"/>
      <c r="K19" s="97"/>
      <c r="P19" s="4"/>
      <c r="Q19" s="102"/>
      <c r="T19" s="4"/>
    </row>
    <row r="20" spans="1:20" x14ac:dyDescent="0.25">
      <c r="A20" s="94" t="s">
        <v>25</v>
      </c>
      <c r="B20" s="95">
        <f>SUM(B9:B19)-B14</f>
        <v>4030.0842732191263</v>
      </c>
      <c r="C20" s="95">
        <f>SUM(C9:C19)-C14</f>
        <v>48361.011278629536</v>
      </c>
      <c r="D20" s="5">
        <f>C20/C20</f>
        <v>1</v>
      </c>
      <c r="E20" s="5">
        <f>SUM(E9:E18)-E14</f>
        <v>1.0126454322278291</v>
      </c>
      <c r="G20" s="97"/>
      <c r="H20" s="97"/>
      <c r="I20" s="4"/>
      <c r="J20" s="97"/>
      <c r="K20" s="97"/>
      <c r="P20" s="4"/>
      <c r="Q20" s="102"/>
      <c r="T20" s="4"/>
    </row>
    <row r="21" spans="1:20" x14ac:dyDescent="0.25">
      <c r="B21" s="97"/>
      <c r="C21" s="97"/>
      <c r="D21" s="97"/>
      <c r="E21" s="97"/>
      <c r="F21" s="97"/>
      <c r="G21" s="97"/>
      <c r="H21" s="4"/>
      <c r="I21" s="97"/>
      <c r="J21" s="97"/>
      <c r="K21" s="97"/>
      <c r="P21" s="4"/>
      <c r="Q21" s="102"/>
      <c r="T21" s="4"/>
    </row>
    <row r="22" spans="1:20" x14ac:dyDescent="0.25">
      <c r="B22" s="97"/>
      <c r="C22" s="97"/>
      <c r="P22" s="4"/>
      <c r="Q22" s="102"/>
      <c r="T22" s="4"/>
    </row>
    <row r="23" spans="1:20" ht="15.6" x14ac:dyDescent="0.3">
      <c r="B23" s="86" t="s">
        <v>73</v>
      </c>
      <c r="P23" s="4"/>
      <c r="Q23" s="102"/>
      <c r="T23" s="4"/>
    </row>
    <row r="24" spans="1:20" ht="12.75" customHeight="1" x14ac:dyDescent="0.3">
      <c r="C24" s="86"/>
      <c r="P24" s="4"/>
      <c r="Q24" s="102"/>
      <c r="T24" s="4"/>
    </row>
    <row r="25" spans="1:20" x14ac:dyDescent="0.25">
      <c r="A25" s="111" t="s">
        <v>61</v>
      </c>
      <c r="B25" s="90" t="s">
        <v>50</v>
      </c>
      <c r="C25" s="90" t="s">
        <v>12</v>
      </c>
      <c r="D25" s="87"/>
      <c r="E25" s="109"/>
      <c r="F25" s="109"/>
      <c r="G25" s="109"/>
      <c r="H25" s="112"/>
      <c r="I25" s="109"/>
      <c r="J25" s="109"/>
      <c r="P25" s="4"/>
      <c r="Q25" s="102"/>
    </row>
    <row r="26" spans="1:20" x14ac:dyDescent="0.25">
      <c r="A26" s="94"/>
      <c r="B26" s="95"/>
      <c r="C26" s="113"/>
      <c r="D26" s="104"/>
      <c r="E26" s="8"/>
      <c r="F26" s="9"/>
      <c r="G26" s="9"/>
      <c r="H26" s="9"/>
      <c r="I26" s="8"/>
      <c r="J26" s="9"/>
      <c r="K26" s="85"/>
      <c r="P26" s="4"/>
      <c r="Q26" s="102"/>
    </row>
    <row r="27" spans="1:20" x14ac:dyDescent="0.25">
      <c r="A27" s="94"/>
      <c r="B27" s="95"/>
      <c r="C27" s="95"/>
      <c r="E27" s="109" t="s">
        <v>74</v>
      </c>
      <c r="F27" s="109" t="s">
        <v>75</v>
      </c>
      <c r="G27" s="109" t="s">
        <v>76</v>
      </c>
      <c r="H27" s="112" t="s">
        <v>77</v>
      </c>
      <c r="K27" s="85"/>
      <c r="P27" s="4"/>
      <c r="Q27" s="102"/>
    </row>
    <row r="28" spans="1:20" x14ac:dyDescent="0.25">
      <c r="A28" s="203" t="s">
        <v>27</v>
      </c>
      <c r="B28" s="113">
        <f ca="1">C28/12</f>
        <v>523.68479166666668</v>
      </c>
      <c r="C28" s="95">
        <f ca="1">MAX(0,E28)</f>
        <v>6284.2174999999997</v>
      </c>
      <c r="D28" s="125"/>
      <c r="E28" s="8">
        <f ca="1">IF(B52&lt;F28,(6833),IF(B52&lt;G28,(6833-(B52-F28)*0.07),(6833-(G28-F28)*0.07-(B52-G28)*0.032-2616)))</f>
        <v>6284.2174999999997</v>
      </c>
      <c r="F28" s="9">
        <v>32028</v>
      </c>
      <c r="G28" s="9">
        <v>69395</v>
      </c>
      <c r="H28" s="115">
        <f>(6400+5400-(G28-F28)*0.135)/0.057+G28</f>
        <v>187911.75438596489</v>
      </c>
      <c r="K28" s="85"/>
      <c r="P28" s="4"/>
      <c r="Q28" s="102"/>
    </row>
    <row r="29" spans="1:20" x14ac:dyDescent="0.25">
      <c r="A29" s="203" t="s">
        <v>78</v>
      </c>
      <c r="B29" s="95">
        <f>C29/12</f>
        <v>0</v>
      </c>
      <c r="C29" s="95">
        <v>0</v>
      </c>
      <c r="E29" s="109" t="s">
        <v>79</v>
      </c>
      <c r="F29" s="109" t="s">
        <v>80</v>
      </c>
      <c r="G29" s="109" t="s">
        <v>81</v>
      </c>
      <c r="H29" s="97"/>
      <c r="I29" s="97"/>
      <c r="P29" s="4"/>
      <c r="Q29" s="102"/>
    </row>
    <row r="30" spans="1:20" x14ac:dyDescent="0.25">
      <c r="A30" s="203" t="s">
        <v>28</v>
      </c>
      <c r="B30" s="95">
        <f ca="1">(C30)/12</f>
        <v>58.851041666666639</v>
      </c>
      <c r="C30" s="95">
        <f ca="1">G30</f>
        <v>706.21249999999964</v>
      </c>
      <c r="D30" s="85"/>
      <c r="E30" s="104">
        <f>299+299+157</f>
        <v>755</v>
      </c>
      <c r="F30" s="85">
        <f ca="1">IF((B52-38892)*0.05&gt;0,(B52-38892)*0.05,0)</f>
        <v>48.787500000000364</v>
      </c>
      <c r="G30" s="104">
        <f ca="1">IF(E30&gt;F30,E30-F30,0)</f>
        <v>706.21249999999964</v>
      </c>
      <c r="H30" s="97"/>
      <c r="I30" s="97"/>
      <c r="K30" s="85"/>
      <c r="P30" s="4"/>
    </row>
    <row r="31" spans="1:20" x14ac:dyDescent="0.25">
      <c r="A31" s="203" t="s">
        <v>29</v>
      </c>
      <c r="B31" s="95">
        <f ca="1">C31/12</f>
        <v>0</v>
      </c>
      <c r="C31" s="95">
        <f ca="1">IF(C15&gt;F34,C15-F34,0)</f>
        <v>0</v>
      </c>
      <c r="D31" s="104"/>
      <c r="E31" s="81" t="s">
        <v>119</v>
      </c>
      <c r="H31" s="97"/>
      <c r="J31" s="97"/>
      <c r="K31" s="85"/>
    </row>
    <row r="32" spans="1:20" x14ac:dyDescent="0.25">
      <c r="A32" s="203" t="s">
        <v>82</v>
      </c>
      <c r="B32" s="95">
        <f ca="1">E32</f>
        <v>0</v>
      </c>
      <c r="C32" s="95">
        <f ca="1">E32*12</f>
        <v>0</v>
      </c>
      <c r="D32" s="104"/>
      <c r="E32" s="104">
        <f ca="1">IF(B52&lt;39680,(0.8*1292-B52*0.3/12),0)</f>
        <v>0</v>
      </c>
      <c r="H32" s="97"/>
      <c r="J32" s="97"/>
      <c r="K32" s="85"/>
    </row>
    <row r="33" spans="1:16" x14ac:dyDescent="0.25">
      <c r="A33" s="94" t="s">
        <v>25</v>
      </c>
      <c r="B33" s="95">
        <f ca="1">SUM(B26:B32)</f>
        <v>582.53583333333336</v>
      </c>
      <c r="C33" s="95">
        <f ca="1">SUM(C26:C32)</f>
        <v>6990.4299999999994</v>
      </c>
      <c r="E33" s="109" t="s">
        <v>83</v>
      </c>
      <c r="F33" s="109" t="s">
        <v>84</v>
      </c>
      <c r="G33" s="109"/>
      <c r="H33" s="97"/>
      <c r="I33" s="97"/>
      <c r="M33" s="87"/>
      <c r="N33" s="87"/>
      <c r="O33" s="88"/>
      <c r="P33" s="117"/>
    </row>
    <row r="34" spans="1:16" x14ac:dyDescent="0.25">
      <c r="B34" s="97"/>
      <c r="C34" s="97"/>
      <c r="E34" s="81">
        <f>15924+7885</f>
        <v>23809</v>
      </c>
      <c r="F34" s="97">
        <f ca="1">IF(IF((B52-E34+7766)&lt;0,(B52-E34)*0.25,(B52-E34+7766)*0.5+1942)&gt;0,IF((B52-E34+7766)&lt;0,(B52-E34)*0.25,(B52-E34+7766)*0.5+1942),O8+M9)</f>
        <v>13854.375000000004</v>
      </c>
      <c r="H34" s="97"/>
      <c r="I34" s="97"/>
    </row>
    <row r="35" spans="1:16" x14ac:dyDescent="0.25">
      <c r="B35" s="97"/>
      <c r="C35" s="97"/>
    </row>
    <row r="36" spans="1:16" ht="15.6" x14ac:dyDescent="0.3">
      <c r="B36" s="86" t="s">
        <v>85</v>
      </c>
    </row>
    <row r="37" spans="1:16" ht="12.75" customHeight="1" x14ac:dyDescent="0.25">
      <c r="A37" s="82"/>
    </row>
    <row r="38" spans="1:16" ht="12.75" customHeight="1" x14ac:dyDescent="0.3">
      <c r="A38" s="118"/>
      <c r="B38" s="90"/>
      <c r="C38" s="90" t="s">
        <v>12</v>
      </c>
      <c r="D38" s="87"/>
      <c r="E38" s="128"/>
      <c r="F38" s="87"/>
      <c r="G38" s="87"/>
      <c r="I38" s="87"/>
    </row>
    <row r="39" spans="1:16" x14ac:dyDescent="0.25">
      <c r="A39" s="94" t="s">
        <v>31</v>
      </c>
      <c r="B39" s="95"/>
      <c r="C39" s="95">
        <f ca="1">C33+B57</f>
        <v>48368.533144040004</v>
      </c>
      <c r="E39" s="109"/>
      <c r="F39" s="109"/>
      <c r="G39" s="109"/>
      <c r="H39" s="110"/>
      <c r="I39" s="110"/>
    </row>
    <row r="40" spans="1:16" x14ac:dyDescent="0.25">
      <c r="A40" s="94" t="s">
        <v>120</v>
      </c>
      <c r="B40" s="95"/>
      <c r="C40" s="95">
        <f>C20</f>
        <v>48361.011278629536</v>
      </c>
      <c r="E40" s="109"/>
      <c r="F40" s="109"/>
      <c r="G40" s="109"/>
      <c r="H40" s="129"/>
      <c r="I40" s="110"/>
    </row>
    <row r="41" spans="1:16" x14ac:dyDescent="0.25">
      <c r="A41" s="94" t="s">
        <v>33</v>
      </c>
      <c r="B41" s="95"/>
      <c r="C41" s="95">
        <f ca="1">C39-C40</f>
        <v>7.5218654104683083</v>
      </c>
      <c r="E41" s="97"/>
      <c r="H41" s="97"/>
      <c r="I41" s="97"/>
    </row>
    <row r="42" spans="1:16" x14ac:dyDescent="0.25">
      <c r="B42" s="97"/>
      <c r="C42" s="97"/>
      <c r="H42" s="97"/>
      <c r="I42" s="97"/>
    </row>
    <row r="43" spans="1:16" x14ac:dyDescent="0.25">
      <c r="B43" s="97"/>
      <c r="C43" s="97"/>
      <c r="E43" s="97"/>
      <c r="H43" s="97"/>
      <c r="I43" s="97"/>
    </row>
    <row r="44" spans="1:16" ht="15.6" x14ac:dyDescent="0.3">
      <c r="A44" s="119" t="s">
        <v>121</v>
      </c>
    </row>
    <row r="45" spans="1:16" x14ac:dyDescent="0.25">
      <c r="B45" s="87"/>
    </row>
    <row r="46" spans="1:16" s="103" customFormat="1" x14ac:dyDescent="0.25">
      <c r="A46" s="90"/>
      <c r="B46" s="130" t="s">
        <v>34</v>
      </c>
      <c r="C46" s="87"/>
      <c r="D46" s="87"/>
    </row>
    <row r="47" spans="1:16" x14ac:dyDescent="0.25">
      <c r="A47" s="94" t="s">
        <v>35</v>
      </c>
      <c r="B47" s="94">
        <v>35</v>
      </c>
      <c r="E47" s="103"/>
      <c r="F47" s="103"/>
      <c r="G47" s="103"/>
      <c r="H47" s="103"/>
      <c r="I47" s="103"/>
    </row>
    <row r="48" spans="1:16" x14ac:dyDescent="0.25">
      <c r="A48" s="94" t="s">
        <v>36</v>
      </c>
      <c r="B48" s="122">
        <v>25.28</v>
      </c>
      <c r="E48" s="103"/>
      <c r="F48" s="103"/>
      <c r="G48" s="103"/>
      <c r="H48" s="103"/>
      <c r="I48" s="103"/>
    </row>
    <row r="49" spans="1:18" ht="3.75" customHeight="1" x14ac:dyDescent="0.25">
      <c r="A49" s="89"/>
      <c r="B49" s="89">
        <v>40</v>
      </c>
      <c r="E49" s="103"/>
      <c r="F49" s="103"/>
      <c r="G49" s="103"/>
      <c r="H49" s="103"/>
      <c r="I49" s="103"/>
    </row>
    <row r="50" spans="1:18" x14ac:dyDescent="0.25">
      <c r="A50" s="94" t="s">
        <v>122</v>
      </c>
      <c r="B50" s="95">
        <f>B48*B47*52</f>
        <v>46009.600000000006</v>
      </c>
      <c r="E50" s="103"/>
      <c r="F50" s="109" t="s">
        <v>88</v>
      </c>
      <c r="I50" s="97"/>
      <c r="K50" s="109" t="s">
        <v>88</v>
      </c>
      <c r="M50" s="81"/>
      <c r="N50" s="81"/>
    </row>
    <row r="51" spans="1:18" x14ac:dyDescent="0.25">
      <c r="A51" s="94" t="s">
        <v>38</v>
      </c>
      <c r="B51" s="95">
        <f ca="1">-C15+C31</f>
        <v>-6141.85</v>
      </c>
      <c r="E51" s="103"/>
      <c r="F51" s="109" t="s">
        <v>89</v>
      </c>
      <c r="G51" s="109" t="s">
        <v>90</v>
      </c>
      <c r="H51" s="109" t="s">
        <v>91</v>
      </c>
      <c r="I51" s="109" t="s">
        <v>92</v>
      </c>
      <c r="K51" s="109" t="s">
        <v>89</v>
      </c>
      <c r="L51" s="109" t="s">
        <v>123</v>
      </c>
      <c r="M51" s="109" t="s">
        <v>94</v>
      </c>
      <c r="N51" s="109" t="s">
        <v>95</v>
      </c>
      <c r="O51" s="109" t="s">
        <v>96</v>
      </c>
      <c r="P51" s="109" t="s">
        <v>97</v>
      </c>
      <c r="Q51" s="109" t="s">
        <v>98</v>
      </c>
      <c r="R51" s="106" t="s">
        <v>163</v>
      </c>
    </row>
    <row r="52" spans="1:18" x14ac:dyDescent="0.25">
      <c r="A52" s="94" t="s">
        <v>39</v>
      </c>
      <c r="B52" s="95">
        <f ca="1">B50+B51</f>
        <v>39867.750000000007</v>
      </c>
      <c r="E52" s="103"/>
      <c r="F52" s="124">
        <v>1</v>
      </c>
      <c r="G52" s="104">
        <f ca="1">B52*0.15</f>
        <v>5980.1625000000013</v>
      </c>
      <c r="H52" s="104">
        <f ca="1">(L52+B53+B54+M52+N52+R52)*0.15</f>
        <v>5028.7492319999992</v>
      </c>
      <c r="I52" s="104">
        <f ca="1">IF(O52&gt;0, O52,0)+P52+Q52</f>
        <v>540</v>
      </c>
      <c r="K52" s="81">
        <v>1</v>
      </c>
      <c r="L52" s="97">
        <f>13808+13808</f>
        <v>27616</v>
      </c>
      <c r="M52" s="97">
        <v>1257</v>
      </c>
      <c r="N52" s="103">
        <f ca="1">IF(C17-B52*0.03&gt;0,C17-B52*0.03,0)</f>
        <v>0</v>
      </c>
      <c r="O52" s="81">
        <f>MAX(IF((B50-3000)*0.27&lt;2403,(B50-3000)*0.27,2403)-IF(B50-26177&gt;0,B50-26177,0)*0.15,0)</f>
        <v>0</v>
      </c>
      <c r="P52" s="81">
        <f ca="1">IF((0.25*N52 - 0.05*(B52-28446))&gt;0,(0.25*N52 - 0.05*(B52-28446)),0)</f>
        <v>0</v>
      </c>
      <c r="Q52" s="81">
        <f>360+180</f>
        <v>540</v>
      </c>
      <c r="R52" s="81">
        <v>1608.27</v>
      </c>
    </row>
    <row r="53" spans="1:18" x14ac:dyDescent="0.25">
      <c r="A53" s="203" t="s">
        <v>40</v>
      </c>
      <c r="B53" s="95">
        <f>IF(B50*0.0158&lt;889.54,B50*0.0158,889.54)</f>
        <v>726.95168000000012</v>
      </c>
      <c r="E53" s="103"/>
      <c r="F53" s="124"/>
      <c r="G53" s="104"/>
      <c r="H53" s="104"/>
      <c r="I53" s="97"/>
    </row>
    <row r="54" spans="1:18" x14ac:dyDescent="0.25">
      <c r="A54" s="203" t="s">
        <v>41</v>
      </c>
      <c r="B54" s="95">
        <f>IF(((B50-3500)*0.0545)&lt;3166.45,(B50-3500)*0.0545,3166.45)</f>
        <v>2316.7732000000001</v>
      </c>
      <c r="C54" s="103"/>
      <c r="E54" s="103"/>
    </row>
    <row r="55" spans="1:18" x14ac:dyDescent="0.25">
      <c r="A55" s="203" t="s">
        <v>42</v>
      </c>
      <c r="B55" s="95">
        <f ca="1">IF(G52-H52&lt;0,0,G52-H52)-I52</f>
        <v>411.41326800000206</v>
      </c>
      <c r="C55" s="103"/>
      <c r="E55" s="103"/>
      <c r="F55" s="109" t="s">
        <v>99</v>
      </c>
      <c r="I55" s="97"/>
      <c r="K55" s="109" t="s">
        <v>99</v>
      </c>
      <c r="M55" s="81"/>
      <c r="N55" s="81"/>
    </row>
    <row r="56" spans="1:18" x14ac:dyDescent="0.25">
      <c r="A56" s="203" t="s">
        <v>43</v>
      </c>
      <c r="B56" s="95">
        <f ca="1">IF(G57-H57&lt;0,0,G57-H57)-I57</f>
        <v>1176.3587079600015</v>
      </c>
      <c r="C56" s="97"/>
      <c r="E56" s="104"/>
      <c r="F56" s="109" t="s">
        <v>89</v>
      </c>
      <c r="G56" s="109" t="s">
        <v>90</v>
      </c>
      <c r="H56" s="109" t="s">
        <v>91</v>
      </c>
      <c r="I56" s="109" t="s">
        <v>100</v>
      </c>
      <c r="K56" s="109" t="s">
        <v>89</v>
      </c>
      <c r="L56" s="109" t="s">
        <v>123</v>
      </c>
      <c r="M56" s="109" t="s">
        <v>101</v>
      </c>
      <c r="N56" s="109" t="s">
        <v>102</v>
      </c>
      <c r="O56" s="109" t="s">
        <v>95</v>
      </c>
      <c r="P56" s="109" t="s">
        <v>103</v>
      </c>
      <c r="Q56" s="109" t="s">
        <v>104</v>
      </c>
    </row>
    <row r="57" spans="1:18" x14ac:dyDescent="0.25">
      <c r="A57" s="94" t="s">
        <v>44</v>
      </c>
      <c r="B57" s="95">
        <f ca="1">B50-SUM(B53:B56)</f>
        <v>41378.103144040004</v>
      </c>
      <c r="E57" s="97"/>
      <c r="F57" s="124">
        <v>1</v>
      </c>
      <c r="G57" s="104">
        <f ca="1">IF(B52&lt;33723,B52*0.108,(B52-33723)*0.1275+(33723*0.108))</f>
        <v>4425.5396250000013</v>
      </c>
      <c r="H57" s="104">
        <f ca="1">(L57+B53+B54+M57+N57+O57)*0.108</f>
        <v>2724.1809170399997</v>
      </c>
      <c r="I57" s="104">
        <f ca="1">P57+Q57</f>
        <v>525</v>
      </c>
      <c r="K57" s="81">
        <v>1</v>
      </c>
      <c r="L57" s="81">
        <f>9936+9134</f>
        <v>19070</v>
      </c>
      <c r="M57" s="131">
        <f>1608.27+120*8</f>
        <v>2568.27</v>
      </c>
      <c r="N57" s="103">
        <f ca="1">IF(2065*2-B52*0.09&gt;0,2065*2-B52*0.09,0)</f>
        <v>541.90249999999969</v>
      </c>
      <c r="O57" s="81">
        <f ca="1">IF(C17-B52*0.03&gt;0,C17-B52*0.03,0)</f>
        <v>0</v>
      </c>
      <c r="P57" s="81">
        <f ca="1">IF(195+195-(B52*0.01)&gt;0,195+195-(B52*0.01),0)</f>
        <v>0</v>
      </c>
      <c r="Q57" s="81">
        <f ca="1">525-(IF(C32&gt;525,525,C32))</f>
        <v>525</v>
      </c>
    </row>
    <row r="58" spans="1:18" x14ac:dyDescent="0.25">
      <c r="A58" s="94" t="s">
        <v>45</v>
      </c>
      <c r="B58" s="95">
        <f ca="1">B57/12</f>
        <v>3448.1752620033335</v>
      </c>
      <c r="F58" s="124"/>
      <c r="G58" s="104"/>
      <c r="H58" s="104"/>
      <c r="I58" s="104"/>
    </row>
    <row r="59" spans="1:18" x14ac:dyDescent="0.25">
      <c r="B59" s="97"/>
      <c r="C59" s="97"/>
      <c r="D59" s="97"/>
    </row>
    <row r="60" spans="1:18" x14ac:dyDescent="0.25">
      <c r="B60" s="97"/>
      <c r="C60" s="97"/>
      <c r="D60" s="97"/>
    </row>
    <row r="61" spans="1:18" s="88" customFormat="1" x14ac:dyDescent="0.25">
      <c r="B61" s="88" t="s">
        <v>124</v>
      </c>
      <c r="M61" s="87"/>
      <c r="N61" s="87"/>
    </row>
    <row r="63" spans="1:18" x14ac:dyDescent="0.25">
      <c r="A63" s="81" t="s">
        <v>106</v>
      </c>
      <c r="D63" s="97">
        <f>B50</f>
        <v>46009.600000000006</v>
      </c>
    </row>
    <row r="64" spans="1:18" x14ac:dyDescent="0.25">
      <c r="A64" s="81" t="s">
        <v>107</v>
      </c>
      <c r="D64" s="97">
        <f ca="1">SUM(B53:B56)</f>
        <v>4631.4968559600038</v>
      </c>
    </row>
    <row r="65" spans="1:9" x14ac:dyDescent="0.25">
      <c r="A65" s="81" t="s">
        <v>108</v>
      </c>
      <c r="D65" s="97">
        <f ca="1">D63-D64</f>
        <v>41378.103144040004</v>
      </c>
    </row>
    <row r="66" spans="1:9" x14ac:dyDescent="0.25">
      <c r="A66" s="81" t="s">
        <v>109</v>
      </c>
      <c r="D66" s="97">
        <f ca="1">C33</f>
        <v>6990.4299999999994</v>
      </c>
    </row>
    <row r="67" spans="1:9" x14ac:dyDescent="0.25">
      <c r="A67" s="81" t="s">
        <v>110</v>
      </c>
      <c r="D67" s="97">
        <f ca="1">D65+D66</f>
        <v>48368.533144040004</v>
      </c>
    </row>
    <row r="68" spans="1:9" x14ac:dyDescent="0.25">
      <c r="A68" s="81" t="s">
        <v>111</v>
      </c>
      <c r="D68" s="97">
        <f>C20</f>
        <v>48361.011278629536</v>
      </c>
    </row>
    <row r="69" spans="1:9" x14ac:dyDescent="0.25">
      <c r="A69" s="81" t="s">
        <v>112</v>
      </c>
      <c r="D69" s="97">
        <f ca="1">D67-D68</f>
        <v>7.5218654104683083</v>
      </c>
    </row>
    <row r="71" spans="1:9" ht="12.75" customHeight="1" x14ac:dyDescent="0.3">
      <c r="B71" s="97"/>
      <c r="C71" s="86"/>
      <c r="E71" s="86"/>
      <c r="F71" s="86"/>
      <c r="G71" s="86"/>
      <c r="H71" s="86"/>
      <c r="I71" s="86"/>
    </row>
    <row r="72" spans="1:9" x14ac:dyDescent="0.25">
      <c r="B72" s="97"/>
    </row>
    <row r="73" spans="1:9" x14ac:dyDescent="0.25">
      <c r="A73" s="88"/>
      <c r="B73" s="103"/>
      <c r="C73" s="103"/>
      <c r="D73" s="103"/>
      <c r="E73" s="88"/>
      <c r="F73" s="88"/>
      <c r="G73" s="88"/>
      <c r="H73" s="88"/>
      <c r="I73" s="88"/>
    </row>
    <row r="74" spans="1:9" x14ac:dyDescent="0.25">
      <c r="B74" s="97"/>
      <c r="C74" s="125"/>
      <c r="D74" s="97"/>
    </row>
    <row r="75" spans="1:9" ht="15" x14ac:dyDescent="0.25">
      <c r="A75" s="82"/>
      <c r="B75" s="97"/>
      <c r="C75" s="125"/>
      <c r="D75" s="97"/>
    </row>
    <row r="76" spans="1:9" x14ac:dyDescent="0.25">
      <c r="B76" s="97"/>
      <c r="C76" s="126"/>
    </row>
    <row r="77" spans="1:9" x14ac:dyDescent="0.25">
      <c r="B77" s="97"/>
      <c r="C77" s="126"/>
    </row>
    <row r="78" spans="1:9" x14ac:dyDescent="0.25">
      <c r="B78" s="87"/>
      <c r="C78" s="87"/>
      <c r="D78" s="87"/>
      <c r="E78" s="87"/>
      <c r="F78" s="87"/>
    </row>
    <row r="79" spans="1:9" x14ac:dyDescent="0.25">
      <c r="B79" s="87"/>
      <c r="C79" s="87"/>
      <c r="D79" s="87"/>
      <c r="E79" s="87"/>
      <c r="F79" s="87"/>
    </row>
    <row r="80" spans="1:9" x14ac:dyDescent="0.25">
      <c r="B80" s="87"/>
      <c r="C80" s="87"/>
      <c r="D80" s="87"/>
      <c r="E80" s="87"/>
      <c r="F80" s="87"/>
    </row>
    <row r="81" spans="2:6" x14ac:dyDescent="0.25">
      <c r="D81" s="107"/>
      <c r="E81" s="107"/>
      <c r="F81" s="16"/>
    </row>
    <row r="82" spans="2:6" x14ac:dyDescent="0.25">
      <c r="D82" s="107"/>
      <c r="E82" s="107"/>
      <c r="F82" s="16"/>
    </row>
    <row r="83" spans="2:6" x14ac:dyDescent="0.25">
      <c r="D83" s="107"/>
      <c r="E83" s="107"/>
      <c r="F83" s="16"/>
    </row>
    <row r="84" spans="2:6" x14ac:dyDescent="0.25">
      <c r="D84" s="107"/>
      <c r="E84" s="107"/>
      <c r="F84" s="16"/>
    </row>
    <row r="87" spans="2:6" x14ac:dyDescent="0.25">
      <c r="B87" s="87"/>
      <c r="C87" s="87"/>
      <c r="D87" s="87"/>
      <c r="E87" s="87"/>
      <c r="F87" s="87"/>
    </row>
    <row r="88" spans="2:6" x14ac:dyDescent="0.25">
      <c r="B88" s="87"/>
      <c r="C88" s="87"/>
      <c r="D88" s="87"/>
      <c r="E88" s="87"/>
      <c r="F88" s="87"/>
    </row>
    <row r="89" spans="2:6" x14ac:dyDescent="0.25">
      <c r="B89" s="87"/>
      <c r="C89" s="87"/>
      <c r="D89" s="87"/>
      <c r="E89" s="87"/>
      <c r="F89" s="87"/>
    </row>
    <row r="90" spans="2:6" x14ac:dyDescent="0.25">
      <c r="D90" s="107"/>
      <c r="E90" s="107"/>
      <c r="F90" s="16"/>
    </row>
    <row r="91" spans="2:6" x14ac:dyDescent="0.25">
      <c r="D91" s="107"/>
      <c r="E91" s="107"/>
      <c r="F91" s="16"/>
    </row>
    <row r="92" spans="2:6" x14ac:dyDescent="0.25">
      <c r="D92" s="107"/>
      <c r="E92" s="107"/>
      <c r="F92" s="16"/>
    </row>
    <row r="93" spans="2:6" x14ac:dyDescent="0.25">
      <c r="D93" s="107"/>
      <c r="E93" s="107"/>
      <c r="F93" s="16"/>
    </row>
    <row r="94" spans="2:6" x14ac:dyDescent="0.25">
      <c r="B94" s="97"/>
      <c r="C94" s="125"/>
    </row>
    <row r="95" spans="2:6" x14ac:dyDescent="0.25">
      <c r="B95" s="97"/>
      <c r="C95" s="97"/>
      <c r="D95" s="97"/>
    </row>
    <row r="96" spans="2:6" x14ac:dyDescent="0.25">
      <c r="B96" s="97"/>
      <c r="C96" s="126"/>
    </row>
    <row r="97" spans="2:6" x14ac:dyDescent="0.25">
      <c r="B97" s="97"/>
      <c r="C97" s="126"/>
    </row>
    <row r="98" spans="2:6" x14ac:dyDescent="0.25">
      <c r="B98" s="87"/>
      <c r="C98" s="87"/>
      <c r="D98" s="87"/>
      <c r="E98" s="87"/>
      <c r="F98" s="87"/>
    </row>
    <row r="99" spans="2:6" x14ac:dyDescent="0.25">
      <c r="B99" s="87"/>
      <c r="C99" s="87"/>
      <c r="D99" s="87"/>
      <c r="E99" s="87"/>
      <c r="F99" s="87"/>
    </row>
    <row r="100" spans="2:6" x14ac:dyDescent="0.25">
      <c r="B100" s="87"/>
      <c r="C100" s="87"/>
      <c r="D100" s="87"/>
      <c r="E100" s="87"/>
      <c r="F100" s="87"/>
    </row>
    <row r="101" spans="2:6" x14ac:dyDescent="0.25">
      <c r="D101" s="107"/>
      <c r="E101" s="107"/>
      <c r="F101" s="16"/>
    </row>
    <row r="102" spans="2:6" x14ac:dyDescent="0.25">
      <c r="D102" s="107"/>
      <c r="E102" s="107"/>
      <c r="F102" s="16"/>
    </row>
    <row r="103" spans="2:6" x14ac:dyDescent="0.25">
      <c r="D103" s="107"/>
      <c r="E103" s="107"/>
      <c r="F103" s="16"/>
    </row>
    <row r="104" spans="2:6" x14ac:dyDescent="0.25">
      <c r="D104" s="107"/>
      <c r="E104" s="107"/>
      <c r="F104" s="16"/>
    </row>
    <row r="107" spans="2:6" x14ac:dyDescent="0.25">
      <c r="B107" s="87"/>
      <c r="C107" s="87"/>
      <c r="D107" s="87"/>
      <c r="E107" s="87"/>
      <c r="F107" s="87"/>
    </row>
    <row r="108" spans="2:6" x14ac:dyDescent="0.25">
      <c r="B108" s="87"/>
      <c r="C108" s="87"/>
      <c r="D108" s="87"/>
      <c r="E108" s="87"/>
      <c r="F108" s="87"/>
    </row>
    <row r="109" spans="2:6" x14ac:dyDescent="0.25">
      <c r="B109" s="87"/>
      <c r="C109" s="87"/>
      <c r="D109" s="87"/>
      <c r="E109" s="87"/>
      <c r="F109" s="87"/>
    </row>
    <row r="110" spans="2:6" x14ac:dyDescent="0.25">
      <c r="D110" s="107"/>
      <c r="E110" s="107"/>
      <c r="F110" s="16"/>
    </row>
    <row r="111" spans="2:6" x14ac:dyDescent="0.25">
      <c r="D111" s="107"/>
      <c r="E111" s="107"/>
      <c r="F111" s="16"/>
    </row>
    <row r="112" spans="2:6" x14ac:dyDescent="0.25">
      <c r="D112" s="107"/>
      <c r="E112" s="107"/>
      <c r="F112" s="16"/>
    </row>
    <row r="113" spans="4:6" x14ac:dyDescent="0.25">
      <c r="D113" s="107"/>
      <c r="E113" s="107"/>
      <c r="F113" s="16"/>
    </row>
  </sheetData>
  <printOptions gridLines="1"/>
  <pageMargins left="0.75" right="0.5" top="0.5" bottom="0.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3"/>
  <sheetViews>
    <sheetView workbookViewId="0">
      <selection activeCell="C11" sqref="C11"/>
    </sheetView>
  </sheetViews>
  <sheetFormatPr defaultColWidth="8.5546875" defaultRowHeight="13.2" x14ac:dyDescent="0.25"/>
  <cols>
    <col min="1" max="1" width="16.5546875" style="81" customWidth="1"/>
    <col min="2" max="2" width="9.5546875" style="81" bestFit="1" customWidth="1"/>
    <col min="3" max="3" width="10.44140625" style="81" customWidth="1"/>
    <col min="4" max="4" width="8.5546875" style="81"/>
    <col min="5" max="5" width="10.5546875" style="81" customWidth="1"/>
    <col min="6" max="6" width="11.21875" style="81" customWidth="1"/>
    <col min="7" max="7" width="8.5546875" style="81"/>
    <col min="8" max="8" width="12.44140625" style="81" customWidth="1"/>
    <col min="9" max="9" width="8.44140625" style="81" customWidth="1"/>
    <col min="10" max="10" width="8.5546875" style="81"/>
    <col min="11" max="11" width="17.44140625" style="81" customWidth="1"/>
    <col min="12" max="12" width="8.5546875" style="81"/>
    <col min="13" max="14" width="15.44140625" style="103" customWidth="1"/>
    <col min="15" max="15" width="8.5546875" style="81"/>
    <col min="16" max="16" width="8" style="81" customWidth="1"/>
    <col min="17" max="17" width="7.44140625" style="81" customWidth="1"/>
    <col min="18" max="16384" width="8.5546875" style="81"/>
  </cols>
  <sheetData>
    <row r="1" spans="1:20" ht="17.399999999999999" x14ac:dyDescent="0.3">
      <c r="A1" s="80" t="s">
        <v>125</v>
      </c>
      <c r="B1" s="80"/>
      <c r="M1" s="81"/>
      <c r="N1" s="81"/>
    </row>
    <row r="2" spans="1:20" s="82" customFormat="1" ht="15" customHeight="1" x14ac:dyDescent="0.3">
      <c r="C2" s="82" t="s">
        <v>115</v>
      </c>
      <c r="D2" s="83"/>
      <c r="E2" s="84"/>
      <c r="M2" s="127"/>
      <c r="N2" s="127"/>
    </row>
    <row r="3" spans="1:20" ht="15.6" x14ac:dyDescent="0.3">
      <c r="A3" s="85"/>
      <c r="C3" s="81" t="s">
        <v>116</v>
      </c>
      <c r="D3" s="83"/>
      <c r="E3" s="84"/>
      <c r="F3" s="82"/>
      <c r="G3" s="82"/>
      <c r="H3" s="82"/>
      <c r="I3" s="82"/>
      <c r="J3" s="82"/>
    </row>
    <row r="4" spans="1:20" ht="12.75" customHeight="1" x14ac:dyDescent="0.3">
      <c r="A4" s="82"/>
      <c r="C4" s="82"/>
      <c r="D4" s="83"/>
      <c r="E4" s="84"/>
      <c r="F4" s="82"/>
      <c r="G4" s="82"/>
      <c r="H4" s="82"/>
      <c r="I4" s="82"/>
      <c r="J4" s="82"/>
    </row>
    <row r="5" spans="1:20" ht="15.6" x14ac:dyDescent="0.3">
      <c r="B5" s="86" t="s">
        <v>49</v>
      </c>
      <c r="M5" s="87"/>
      <c r="N5" s="87"/>
      <c r="O5" s="88"/>
      <c r="P5" s="88"/>
      <c r="Q5" s="88"/>
    </row>
    <row r="6" spans="1:20" ht="12.75" customHeight="1" x14ac:dyDescent="0.3">
      <c r="C6" s="86"/>
      <c r="J6" s="87"/>
      <c r="K6" s="81" t="s">
        <v>117</v>
      </c>
      <c r="R6" s="4"/>
    </row>
    <row r="7" spans="1:20" x14ac:dyDescent="0.25">
      <c r="A7" s="89" t="s">
        <v>11</v>
      </c>
      <c r="B7" s="90" t="s">
        <v>50</v>
      </c>
      <c r="C7" s="90" t="s">
        <v>12</v>
      </c>
      <c r="D7" s="91" t="s">
        <v>51</v>
      </c>
      <c r="E7" s="91" t="s">
        <v>52</v>
      </c>
      <c r="F7" s="87"/>
      <c r="G7" s="87"/>
      <c r="H7" s="92" t="s">
        <v>53</v>
      </c>
      <c r="I7" s="93">
        <f>B50</f>
        <v>38584</v>
      </c>
      <c r="J7" s="87"/>
      <c r="K7" s="81" t="s">
        <v>55</v>
      </c>
      <c r="L7" s="81" t="s">
        <v>56</v>
      </c>
      <c r="M7" s="81" t="s">
        <v>57</v>
      </c>
      <c r="N7" s="81" t="s">
        <v>58</v>
      </c>
      <c r="O7" s="81" t="s">
        <v>59</v>
      </c>
      <c r="P7" s="4"/>
    </row>
    <row r="8" spans="1:20" x14ac:dyDescent="0.25">
      <c r="A8" s="94" t="s">
        <v>13</v>
      </c>
      <c r="B8" s="95"/>
      <c r="C8" s="95"/>
      <c r="D8" s="96" t="s">
        <v>60</v>
      </c>
      <c r="E8" s="91" t="s">
        <v>61</v>
      </c>
      <c r="G8" s="97"/>
      <c r="H8" s="98" t="s">
        <v>62</v>
      </c>
      <c r="I8" s="93">
        <f ca="1">C33</f>
        <v>7868.7035000000005</v>
      </c>
      <c r="J8" s="97"/>
      <c r="K8" s="81">
        <v>243</v>
      </c>
      <c r="L8" s="81">
        <v>20.8</v>
      </c>
      <c r="M8" s="81">
        <f>K8*L8</f>
        <v>5054.4000000000005</v>
      </c>
      <c r="N8" s="81">
        <v>2</v>
      </c>
      <c r="O8" s="81">
        <f>N8*K8</f>
        <v>486</v>
      </c>
      <c r="P8" s="4"/>
      <c r="Q8" s="102"/>
    </row>
    <row r="9" spans="1:20" x14ac:dyDescent="0.25">
      <c r="A9" s="94" t="s">
        <v>14</v>
      </c>
      <c r="B9" s="95">
        <f>C9/12</f>
        <v>467.2006981919331</v>
      </c>
      <c r="C9" s="95">
        <f>0.912*((11377*(148/143.8))/2)*1.05</f>
        <v>5606.4083783031974</v>
      </c>
      <c r="D9" s="5">
        <f>C9/C20</f>
        <v>0.13018636691669927</v>
      </c>
      <c r="E9" s="5">
        <f>C9/B50</f>
        <v>0.14530396999541773</v>
      </c>
      <c r="F9" s="99"/>
      <c r="G9" s="97"/>
      <c r="H9" s="100" t="s">
        <v>64</v>
      </c>
      <c r="I9" s="101">
        <f ca="1">I7+I8</f>
        <v>46452.703500000003</v>
      </c>
      <c r="J9" s="87"/>
      <c r="M9" s="81">
        <f>11.65*3.5*26</f>
        <v>1060.1499999999999</v>
      </c>
      <c r="N9" s="81"/>
      <c r="P9" s="4"/>
      <c r="Q9" s="102"/>
      <c r="T9" s="4"/>
    </row>
    <row r="10" spans="1:20" x14ac:dyDescent="0.25">
      <c r="A10" s="94" t="s">
        <v>15</v>
      </c>
      <c r="B10" s="95">
        <f>C10/12</f>
        <v>122.77113128453794</v>
      </c>
      <c r="C10" s="95">
        <f>((2042*(95.4/93.5))/2)*SQRT(2)</f>
        <v>1473.2535754144553</v>
      </c>
      <c r="D10" s="5">
        <f>C10/C20</f>
        <v>3.4210410228498848E-2</v>
      </c>
      <c r="E10" s="5">
        <f>C10/B50</f>
        <v>3.8183018230729199E-2</v>
      </c>
      <c r="F10" s="99"/>
      <c r="H10" s="103"/>
      <c r="I10" s="103"/>
      <c r="J10" s="97"/>
      <c r="M10" s="81"/>
      <c r="N10" s="81"/>
      <c r="P10" s="4"/>
      <c r="Q10" s="102"/>
      <c r="T10" s="4"/>
    </row>
    <row r="11" spans="1:20" x14ac:dyDescent="0.25">
      <c r="A11" s="94" t="s">
        <v>16</v>
      </c>
      <c r="B11" s="95">
        <f>C11/12</f>
        <v>1277.7967885288965</v>
      </c>
      <c r="C11" s="95">
        <f>(1195*12)+(487.63*(158.1/114.2))+(26.54*12)</f>
        <v>15333.561462346759</v>
      </c>
      <c r="D11" s="5">
        <f>C11/C20</f>
        <v>0.35606051574876524</v>
      </c>
      <c r="E11" s="5">
        <f>C11/B50</f>
        <v>0.3974072533264244</v>
      </c>
      <c r="G11" s="97"/>
      <c r="H11" s="85" t="s">
        <v>67</v>
      </c>
      <c r="I11" s="104">
        <f ca="1">B55+B56</f>
        <v>967.5284386000003</v>
      </c>
      <c r="J11" s="87"/>
      <c r="M11" s="81">
        <f>SUM(M8:M10)</f>
        <v>6114.55</v>
      </c>
      <c r="N11" s="81"/>
      <c r="P11" s="4"/>
      <c r="Q11" s="102"/>
      <c r="T11" s="4"/>
    </row>
    <row r="12" spans="1:20" x14ac:dyDescent="0.25">
      <c r="A12" s="94" t="s">
        <v>17</v>
      </c>
      <c r="B12" s="95">
        <f>C12/12</f>
        <v>404.92024031489535</v>
      </c>
      <c r="C12" s="95">
        <f>(4850*161.2/160.9)</f>
        <v>4859.042883778744</v>
      </c>
      <c r="D12" s="5">
        <f>C12/C20</f>
        <v>0.112831798371964</v>
      </c>
      <c r="E12" s="5">
        <f>C12/B50</f>
        <v>0.12593414067434025</v>
      </c>
      <c r="F12" s="99"/>
      <c r="H12" s="104" t="s">
        <v>68</v>
      </c>
      <c r="I12" s="104">
        <f ca="1">C33</f>
        <v>7868.7035000000005</v>
      </c>
      <c r="J12" s="4"/>
      <c r="M12" s="81"/>
      <c r="N12" s="81"/>
      <c r="P12" s="4"/>
      <c r="Q12" s="102"/>
      <c r="T12" s="4"/>
    </row>
    <row r="13" spans="1:20" x14ac:dyDescent="0.25">
      <c r="A13" s="94" t="s">
        <v>18</v>
      </c>
      <c r="B13" s="95">
        <f>C13/12</f>
        <v>444.83875942525918</v>
      </c>
      <c r="C13" s="95">
        <f>0.754*(C9+C10)</f>
        <v>5338.06511310311</v>
      </c>
      <c r="D13" s="5">
        <f>C13/C20</f>
        <v>0.12395516996747936</v>
      </c>
      <c r="E13" s="5">
        <f>C13/B50</f>
        <v>0.13834918912251476</v>
      </c>
      <c r="H13" s="101" t="s">
        <v>70</v>
      </c>
      <c r="I13" s="101">
        <f ca="1">I11-I12</f>
        <v>-6901.1750614000002</v>
      </c>
      <c r="J13" s="97"/>
      <c r="K13" s="97"/>
      <c r="P13" s="4"/>
      <c r="Q13" s="102"/>
      <c r="T13" s="4"/>
    </row>
    <row r="14" spans="1:20" s="106" customFormat="1" x14ac:dyDescent="0.25">
      <c r="A14" s="96" t="s">
        <v>19</v>
      </c>
      <c r="B14" s="105">
        <f>SUM(B9:B13)</f>
        <v>2717.5276177455216</v>
      </c>
      <c r="C14" s="105">
        <f>SUM(C9:C13)</f>
        <v>32610.331412946267</v>
      </c>
      <c r="D14" s="6">
        <f>C14/C20</f>
        <v>0.75724426123340671</v>
      </c>
      <c r="E14" s="6">
        <f>C14/B50</f>
        <v>0.84517757134942639</v>
      </c>
      <c r="G14" s="101"/>
      <c r="H14" s="104" t="s">
        <v>71</v>
      </c>
      <c r="I14" s="104">
        <f>B53+B54</f>
        <v>2414.3447999999999</v>
      </c>
      <c r="J14" s="101"/>
      <c r="K14" s="101"/>
      <c r="M14" s="103"/>
      <c r="N14" s="103"/>
      <c r="O14" s="107"/>
      <c r="P14" s="4"/>
      <c r="Q14" s="102"/>
      <c r="R14" s="81"/>
      <c r="S14" s="81"/>
      <c r="T14" s="4"/>
    </row>
    <row r="15" spans="1:20" x14ac:dyDescent="0.25">
      <c r="A15" s="94" t="s">
        <v>20</v>
      </c>
      <c r="B15" s="95">
        <f>C15/12</f>
        <v>509.54583333333335</v>
      </c>
      <c r="C15" s="95">
        <f>M11</f>
        <v>6114.55</v>
      </c>
      <c r="D15" s="5">
        <f>C15/C20</f>
        <v>0.14198591970416283</v>
      </c>
      <c r="E15" s="5">
        <f>C15/B50</f>
        <v>0.15847371967654986</v>
      </c>
      <c r="G15" s="97"/>
      <c r="H15" s="106" t="s">
        <v>72</v>
      </c>
      <c r="I15" s="101">
        <f ca="1">I13+I14</f>
        <v>-4486.8302614000004</v>
      </c>
      <c r="J15" s="97"/>
      <c r="K15" s="97"/>
      <c r="P15" s="4"/>
      <c r="Q15" s="102"/>
      <c r="R15" s="106"/>
      <c r="T15" s="4"/>
    </row>
    <row r="16" spans="1:20" x14ac:dyDescent="0.25">
      <c r="A16" s="94" t="s">
        <v>21</v>
      </c>
      <c r="B16" s="95">
        <f>C16/12</f>
        <v>0</v>
      </c>
      <c r="C16" s="95">
        <v>0</v>
      </c>
      <c r="D16" s="108">
        <f>C16/C20</f>
        <v>0</v>
      </c>
      <c r="E16" s="108">
        <f>C16/B50</f>
        <v>0</v>
      </c>
      <c r="H16" s="97"/>
      <c r="I16" s="97"/>
      <c r="J16" s="97"/>
      <c r="K16" s="97"/>
      <c r="P16" s="4"/>
      <c r="Q16" s="102"/>
      <c r="T16" s="4"/>
    </row>
    <row r="17" spans="1:20" x14ac:dyDescent="0.25">
      <c r="A17" s="94" t="s">
        <v>22</v>
      </c>
      <c r="B17" s="95">
        <f>C17/12</f>
        <v>88.7</v>
      </c>
      <c r="C17" s="95">
        <f>(68.25+20.45)*12</f>
        <v>1064.4000000000001</v>
      </c>
      <c r="D17" s="5">
        <f>C17/C20</f>
        <v>2.4716424419313099E-2</v>
      </c>
      <c r="E17" s="5">
        <f>C17/B50</f>
        <v>2.7586564379017211E-2</v>
      </c>
      <c r="G17" s="97"/>
      <c r="H17" s="97"/>
      <c r="I17" s="97"/>
      <c r="J17" s="97"/>
      <c r="K17" s="97"/>
      <c r="P17" s="4"/>
      <c r="Q17" s="102"/>
      <c r="T17" s="4"/>
    </row>
    <row r="18" spans="1:20" x14ac:dyDescent="0.25">
      <c r="A18" s="94" t="s">
        <v>23</v>
      </c>
      <c r="B18" s="95">
        <f>C18/12</f>
        <v>149.26666666666668</v>
      </c>
      <c r="C18" s="95">
        <v>1791.2</v>
      </c>
      <c r="D18" s="5">
        <f>C18/C20</f>
        <v>4.159344176989254E-2</v>
      </c>
      <c r="E18" s="5">
        <f>C18/B50</f>
        <v>4.64233879328219E-2</v>
      </c>
      <c r="G18" s="97"/>
      <c r="H18" s="97"/>
      <c r="I18" s="97"/>
      <c r="J18" s="97"/>
      <c r="K18" s="97"/>
      <c r="P18" s="4"/>
      <c r="Q18" s="102"/>
      <c r="T18" s="4"/>
    </row>
    <row r="19" spans="1:20" x14ac:dyDescent="0.25">
      <c r="A19" s="94" t="s">
        <v>24</v>
      </c>
      <c r="B19" s="95">
        <f>C19/12</f>
        <v>123.66666666666667</v>
      </c>
      <c r="C19" s="95">
        <f>B47*B48*2</f>
        <v>1484</v>
      </c>
      <c r="D19" s="5">
        <f>C19/C20</f>
        <v>3.4459952873224953E-2</v>
      </c>
      <c r="E19" s="5">
        <f>C19/B50</f>
        <v>3.8461538461538464E-2</v>
      </c>
      <c r="G19" s="97"/>
      <c r="H19" s="97"/>
      <c r="I19" s="97"/>
      <c r="J19" s="97"/>
      <c r="K19" s="97"/>
      <c r="P19" s="4"/>
      <c r="Q19" s="102"/>
      <c r="T19" s="4"/>
    </row>
    <row r="20" spans="1:20" x14ac:dyDescent="0.25">
      <c r="A20" s="94" t="s">
        <v>25</v>
      </c>
      <c r="B20" s="95">
        <f>SUM(B9:B19)-B14</f>
        <v>3588.7067844121884</v>
      </c>
      <c r="C20" s="95">
        <f>SUM(C9:C19)-C14</f>
        <v>43064.481412946261</v>
      </c>
      <c r="D20" s="5">
        <f>C20/C20</f>
        <v>1</v>
      </c>
      <c r="E20" s="5">
        <f>SUM(E9:E18)-E14</f>
        <v>1.0776612433378152</v>
      </c>
      <c r="G20" s="97"/>
      <c r="H20" s="97"/>
      <c r="I20" s="4"/>
      <c r="J20" s="97"/>
      <c r="K20" s="97"/>
      <c r="P20" s="4"/>
      <c r="Q20" s="102"/>
      <c r="T20" s="4"/>
    </row>
    <row r="21" spans="1:20" x14ac:dyDescent="0.25">
      <c r="B21" s="97"/>
      <c r="C21" s="97"/>
      <c r="D21" s="97"/>
      <c r="E21" s="97"/>
      <c r="F21" s="97"/>
      <c r="G21" s="97"/>
      <c r="H21" s="4"/>
      <c r="I21" s="97"/>
      <c r="J21" s="97"/>
      <c r="K21" s="97"/>
      <c r="P21" s="4"/>
      <c r="Q21" s="102"/>
      <c r="T21" s="4"/>
    </row>
    <row r="22" spans="1:20" x14ac:dyDescent="0.25">
      <c r="B22" s="97"/>
      <c r="C22" s="97"/>
      <c r="P22" s="4"/>
      <c r="Q22" s="102"/>
      <c r="T22" s="4"/>
    </row>
    <row r="23" spans="1:20" ht="15.6" x14ac:dyDescent="0.3">
      <c r="B23" s="86" t="s">
        <v>73</v>
      </c>
      <c r="P23" s="4"/>
      <c r="Q23" s="102"/>
      <c r="T23" s="4"/>
    </row>
    <row r="24" spans="1:20" ht="12.75" customHeight="1" x14ac:dyDescent="0.3">
      <c r="C24" s="86"/>
      <c r="P24" s="4"/>
      <c r="Q24" s="102"/>
      <c r="T24" s="4"/>
    </row>
    <row r="25" spans="1:20" x14ac:dyDescent="0.25">
      <c r="A25" s="111" t="s">
        <v>61</v>
      </c>
      <c r="B25" s="90" t="s">
        <v>50</v>
      </c>
      <c r="C25" s="90" t="s">
        <v>12</v>
      </c>
      <c r="D25" s="87"/>
      <c r="E25" s="109"/>
      <c r="F25" s="109"/>
      <c r="G25" s="109"/>
      <c r="H25" s="112"/>
      <c r="I25" s="109"/>
      <c r="J25" s="109"/>
      <c r="P25" s="4"/>
      <c r="Q25" s="102"/>
    </row>
    <row r="26" spans="1:20" x14ac:dyDescent="0.25">
      <c r="A26" s="94"/>
      <c r="B26" s="95"/>
      <c r="C26" s="113"/>
      <c r="D26" s="104"/>
      <c r="E26" s="8"/>
      <c r="F26" s="9"/>
      <c r="G26" s="9"/>
      <c r="H26" s="9"/>
      <c r="I26" s="8"/>
      <c r="J26" s="9"/>
      <c r="K26" s="85"/>
      <c r="P26" s="4"/>
      <c r="Q26" s="102"/>
    </row>
    <row r="27" spans="1:20" x14ac:dyDescent="0.25">
      <c r="A27" s="94"/>
      <c r="B27" s="95"/>
      <c r="C27" s="95"/>
      <c r="E27" s="109" t="s">
        <v>74</v>
      </c>
      <c r="F27" s="109" t="s">
        <v>75</v>
      </c>
      <c r="G27" s="109" t="s">
        <v>76</v>
      </c>
      <c r="H27" s="112" t="s">
        <v>77</v>
      </c>
      <c r="K27" s="85"/>
      <c r="P27" s="4"/>
      <c r="Q27" s="102"/>
    </row>
    <row r="28" spans="1:20" x14ac:dyDescent="0.25">
      <c r="A28" s="94" t="s">
        <v>27</v>
      </c>
      <c r="B28" s="113">
        <f ca="1">C28/12</f>
        <v>545.3782083333333</v>
      </c>
      <c r="C28" s="95">
        <f ca="1">MAX(0,E28)</f>
        <v>6544.5384999999997</v>
      </c>
      <c r="D28" s="125"/>
      <c r="E28" s="8">
        <f ca="1">IF(B52&lt;F28,(6639),IF(B52&lt;G28,(6639-(B52-F28)*0.07),(6639-(G28-F28)*0.07-(B52-G28)*0.032-2541)))</f>
        <v>6544.5384999999997</v>
      </c>
      <c r="F28" s="9">
        <v>31120</v>
      </c>
      <c r="G28" s="9">
        <v>67426</v>
      </c>
      <c r="H28" s="115">
        <f>(6400+5400-(G28-F28)*0.135)/0.057+G28</f>
        <v>188455.64912280702</v>
      </c>
      <c r="K28" s="85"/>
      <c r="P28" s="4"/>
      <c r="Q28" s="102"/>
    </row>
    <row r="29" spans="1:20" x14ac:dyDescent="0.25">
      <c r="A29" s="94" t="s">
        <v>78</v>
      </c>
      <c r="B29" s="95">
        <f>C29/12</f>
        <v>0</v>
      </c>
      <c r="C29" s="95">
        <v>0</v>
      </c>
      <c r="E29" s="109" t="s">
        <v>79</v>
      </c>
      <c r="F29" s="109" t="s">
        <v>80</v>
      </c>
      <c r="G29" s="109" t="s">
        <v>81</v>
      </c>
      <c r="H29" s="97"/>
      <c r="I29" s="97"/>
      <c r="P29" s="4"/>
      <c r="Q29" s="102"/>
    </row>
    <row r="30" spans="1:20" x14ac:dyDescent="0.25">
      <c r="A30" s="94" t="s">
        <v>28</v>
      </c>
      <c r="B30" s="95">
        <f ca="1">(C30)/12</f>
        <v>61.083333333333336</v>
      </c>
      <c r="C30" s="95">
        <f ca="1">G30</f>
        <v>733</v>
      </c>
      <c r="D30" s="85"/>
      <c r="E30" s="104">
        <f>290+290+153</f>
        <v>733</v>
      </c>
      <c r="F30" s="85">
        <f ca="1">IF((B52-37789)*0.05&gt;0,(B52-37789)*0.05,0)</f>
        <v>0</v>
      </c>
      <c r="G30" s="104">
        <f ca="1">IF(E30&gt;F30,E30-F30,0)</f>
        <v>733</v>
      </c>
      <c r="H30" s="97"/>
      <c r="I30" s="97"/>
      <c r="K30" s="85"/>
      <c r="P30" s="4"/>
    </row>
    <row r="31" spans="1:20" x14ac:dyDescent="0.25">
      <c r="A31" s="94" t="s">
        <v>29</v>
      </c>
      <c r="B31" s="95">
        <f ca="1">C31/12</f>
        <v>0</v>
      </c>
      <c r="C31" s="95">
        <f ca="1">IF(C15&gt;F34,C15-F34,0)</f>
        <v>0</v>
      </c>
      <c r="D31" s="104"/>
      <c r="E31" s="81" t="s">
        <v>119</v>
      </c>
      <c r="H31" s="97"/>
      <c r="J31" s="97"/>
      <c r="K31" s="85"/>
    </row>
    <row r="32" spans="1:20" x14ac:dyDescent="0.25">
      <c r="A32" s="94" t="s">
        <v>82</v>
      </c>
      <c r="B32" s="95">
        <f ca="1">E32</f>
        <v>49.263750000000073</v>
      </c>
      <c r="C32" s="95">
        <f ca="1">E32*12</f>
        <v>591.16500000000087</v>
      </c>
      <c r="D32" s="104"/>
      <c r="E32" s="104">
        <f ca="1">IF(B52&lt;35840,(0.75*1148-B52*0.3/12),0)</f>
        <v>49.263750000000073</v>
      </c>
      <c r="H32" s="97"/>
      <c r="J32" s="97"/>
      <c r="K32" s="85"/>
    </row>
    <row r="33" spans="1:16" x14ac:dyDescent="0.25">
      <c r="A33" s="94" t="s">
        <v>25</v>
      </c>
      <c r="B33" s="95">
        <f ca="1">SUM(B26:B32)</f>
        <v>655.72529166666675</v>
      </c>
      <c r="C33" s="95">
        <f ca="1">SUM(C26:C32)</f>
        <v>7868.7035000000005</v>
      </c>
      <c r="E33" s="109" t="s">
        <v>83</v>
      </c>
      <c r="F33" s="109" t="s">
        <v>84</v>
      </c>
      <c r="G33" s="109"/>
      <c r="H33" s="97"/>
      <c r="I33" s="97"/>
      <c r="M33" s="87"/>
      <c r="N33" s="87"/>
      <c r="O33" s="88"/>
      <c r="P33" s="117"/>
    </row>
    <row r="34" spans="1:16" x14ac:dyDescent="0.25">
      <c r="B34" s="97"/>
      <c r="C34" s="97"/>
      <c r="E34" s="81">
        <f>10982+5438</f>
        <v>16420</v>
      </c>
      <c r="F34" s="97">
        <f ca="1">IF(IF((B52-E34+5356)&lt;0,(B52-E34)*0.25,(B52-E34+5356)*0.5+1339)&gt;0,IF((B52-E34+5356)&lt;0,(B52-E34)*0.25,(B52-E34+5356)*0.5+1339),O8+M9)</f>
        <v>12041.725</v>
      </c>
      <c r="H34" s="97"/>
      <c r="I34" s="97"/>
    </row>
    <row r="35" spans="1:16" x14ac:dyDescent="0.25">
      <c r="B35" s="97"/>
      <c r="C35" s="97"/>
    </row>
    <row r="36" spans="1:16" ht="15.6" x14ac:dyDescent="0.3">
      <c r="B36" s="86" t="s">
        <v>85</v>
      </c>
    </row>
    <row r="37" spans="1:16" ht="12.75" customHeight="1" x14ac:dyDescent="0.25">
      <c r="A37" s="82"/>
    </row>
    <row r="38" spans="1:16" ht="12.75" customHeight="1" x14ac:dyDescent="0.3">
      <c r="A38" s="118"/>
      <c r="B38" s="90"/>
      <c r="C38" s="90" t="s">
        <v>12</v>
      </c>
      <c r="D38" s="87"/>
      <c r="E38" s="128"/>
      <c r="F38" s="87"/>
      <c r="G38" s="87"/>
      <c r="I38" s="87"/>
    </row>
    <row r="39" spans="1:16" x14ac:dyDescent="0.25">
      <c r="A39" s="94" t="s">
        <v>31</v>
      </c>
      <c r="B39" s="95"/>
      <c r="C39" s="95">
        <f ca="1">C33+B57</f>
        <v>43070.830261400006</v>
      </c>
      <c r="E39" s="109"/>
      <c r="F39" s="109"/>
      <c r="G39" s="109"/>
      <c r="H39" s="110"/>
      <c r="I39" s="110"/>
    </row>
    <row r="40" spans="1:16" x14ac:dyDescent="0.25">
      <c r="A40" s="94" t="s">
        <v>120</v>
      </c>
      <c r="B40" s="95"/>
      <c r="C40" s="95">
        <f>C20</f>
        <v>43064.481412946261</v>
      </c>
      <c r="E40" s="109"/>
      <c r="F40" s="109"/>
      <c r="G40" s="109"/>
      <c r="H40" s="129"/>
      <c r="I40" s="110"/>
    </row>
    <row r="41" spans="1:16" x14ac:dyDescent="0.25">
      <c r="A41" s="94" t="s">
        <v>33</v>
      </c>
      <c r="B41" s="95"/>
      <c r="C41" s="95">
        <f ca="1">C39-C40</f>
        <v>6.3488484537447221</v>
      </c>
      <c r="E41" s="97"/>
      <c r="H41" s="97"/>
      <c r="I41" s="97"/>
    </row>
    <row r="42" spans="1:16" x14ac:dyDescent="0.25">
      <c r="B42" s="97"/>
      <c r="C42" s="97"/>
      <c r="H42" s="97"/>
      <c r="I42" s="97"/>
    </row>
    <row r="43" spans="1:16" x14ac:dyDescent="0.25">
      <c r="B43" s="97"/>
      <c r="C43" s="97"/>
      <c r="E43" s="97"/>
      <c r="H43" s="97"/>
      <c r="I43" s="97"/>
    </row>
    <row r="44" spans="1:16" ht="15.6" x14ac:dyDescent="0.3">
      <c r="A44" s="119" t="s">
        <v>121</v>
      </c>
    </row>
    <row r="45" spans="1:16" x14ac:dyDescent="0.25">
      <c r="B45" s="87"/>
    </row>
    <row r="46" spans="1:16" s="103" customFormat="1" x14ac:dyDescent="0.25">
      <c r="A46" s="90"/>
      <c r="B46" s="130" t="s">
        <v>34</v>
      </c>
      <c r="C46" s="87"/>
      <c r="D46" s="87"/>
    </row>
    <row r="47" spans="1:16" x14ac:dyDescent="0.25">
      <c r="A47" s="94" t="s">
        <v>35</v>
      </c>
      <c r="B47" s="94">
        <v>35</v>
      </c>
      <c r="E47" s="103"/>
      <c r="F47" s="103"/>
      <c r="G47" s="103"/>
      <c r="H47" s="103"/>
      <c r="I47" s="103"/>
    </row>
    <row r="48" spans="1:16" x14ac:dyDescent="0.25">
      <c r="A48" s="94" t="s">
        <v>36</v>
      </c>
      <c r="B48" s="122">
        <v>21.2</v>
      </c>
      <c r="E48" s="103"/>
      <c r="F48" s="103"/>
      <c r="G48" s="103"/>
      <c r="H48" s="103"/>
      <c r="I48" s="103"/>
    </row>
    <row r="49" spans="1:17" ht="3.75" customHeight="1" x14ac:dyDescent="0.25">
      <c r="A49" s="89"/>
      <c r="B49" s="89">
        <v>40</v>
      </c>
      <c r="E49" s="103"/>
      <c r="F49" s="103"/>
      <c r="G49" s="103"/>
      <c r="H49" s="103"/>
      <c r="I49" s="103"/>
    </row>
    <row r="50" spans="1:17" x14ac:dyDescent="0.25">
      <c r="A50" s="94" t="s">
        <v>122</v>
      </c>
      <c r="B50" s="95">
        <f>B48*B47*52</f>
        <v>38584</v>
      </c>
      <c r="E50" s="103"/>
      <c r="F50" s="109" t="s">
        <v>88</v>
      </c>
      <c r="I50" s="97"/>
      <c r="K50" s="109" t="s">
        <v>88</v>
      </c>
      <c r="M50" s="81"/>
      <c r="N50" s="81"/>
    </row>
    <row r="51" spans="1:17" x14ac:dyDescent="0.25">
      <c r="A51" s="94" t="s">
        <v>38</v>
      </c>
      <c r="B51" s="95">
        <f ca="1">-C15+C31</f>
        <v>-6114.55</v>
      </c>
      <c r="E51" s="103"/>
      <c r="F51" s="109" t="s">
        <v>89</v>
      </c>
      <c r="G51" s="109" t="s">
        <v>90</v>
      </c>
      <c r="H51" s="109" t="s">
        <v>91</v>
      </c>
      <c r="I51" s="109" t="s">
        <v>92</v>
      </c>
      <c r="K51" s="109" t="s">
        <v>89</v>
      </c>
      <c r="L51" s="109" t="s">
        <v>123</v>
      </c>
      <c r="M51" s="109" t="s">
        <v>94</v>
      </c>
      <c r="N51" s="109" t="s">
        <v>95</v>
      </c>
      <c r="O51" s="109" t="s">
        <v>96</v>
      </c>
      <c r="P51" s="109" t="s">
        <v>97</v>
      </c>
      <c r="Q51" s="109" t="s">
        <v>98</v>
      </c>
    </row>
    <row r="52" spans="1:17" x14ac:dyDescent="0.25">
      <c r="A52" s="94" t="s">
        <v>39</v>
      </c>
      <c r="B52" s="95">
        <f ca="1">B50+B51</f>
        <v>32469.45</v>
      </c>
      <c r="E52" s="103"/>
      <c r="F52" s="124">
        <v>1</v>
      </c>
      <c r="G52" s="104">
        <f ca="1">B52*0.15</f>
        <v>4870.4174999999996</v>
      </c>
      <c r="H52" s="104">
        <f ca="1">(L52+B53+B54+M52+N52)*0.15</f>
        <v>4179.6991950000001</v>
      </c>
      <c r="I52" s="104">
        <f ca="1">IF(O52&gt;0, O52,0)+P52+Q52</f>
        <v>364</v>
      </c>
      <c r="K52" s="81">
        <v>1</v>
      </c>
      <c r="L52" s="97">
        <f>12069+12069</f>
        <v>24138</v>
      </c>
      <c r="M52" s="97">
        <v>1222</v>
      </c>
      <c r="N52" s="103">
        <f ca="1">IF(C17-B52*0.03&gt;0,C17-B52*0.03,0)</f>
        <v>90.316500000000133</v>
      </c>
      <c r="O52" s="81">
        <f>IF((B50-3000)*0.26&lt;2335,(B50-3000)*0.26,2335)-IF(B50-17025&gt;0,B50-17025,0)*0.12</f>
        <v>-252.07999999999993</v>
      </c>
      <c r="P52" s="81">
        <f ca="1">IF((0.25*N52 - 0.05*(B52-27044))&gt;0,(0.25*N52 - 0.05*(B52-27044)),0)</f>
        <v>0</v>
      </c>
      <c r="Q52" s="81">
        <f>243+121</f>
        <v>364</v>
      </c>
    </row>
    <row r="53" spans="1:17" x14ac:dyDescent="0.25">
      <c r="A53" s="94" t="s">
        <v>40</v>
      </c>
      <c r="B53" s="95">
        <f>B50*0.0162</f>
        <v>625.06079999999997</v>
      </c>
      <c r="E53" s="103"/>
      <c r="F53" s="124"/>
      <c r="G53" s="104"/>
      <c r="H53" s="104"/>
      <c r="I53" s="97"/>
    </row>
    <row r="54" spans="1:17" x14ac:dyDescent="0.25">
      <c r="A54" s="94" t="s">
        <v>41</v>
      </c>
      <c r="B54" s="95">
        <f>IF(((B50-3500)*0.051)&lt;2748.9,(B50-3500)*0.051,2748.9)</f>
        <v>1789.2839999999999</v>
      </c>
      <c r="C54" s="103"/>
      <c r="E54" s="103"/>
    </row>
    <row r="55" spans="1:17" x14ac:dyDescent="0.25">
      <c r="A55" s="94" t="s">
        <v>42</v>
      </c>
      <c r="B55" s="95">
        <f ca="1">IF(G52-H52&lt;0,0,G52-H52)-I52</f>
        <v>326.71830499999942</v>
      </c>
      <c r="C55" s="103"/>
      <c r="E55" s="103"/>
      <c r="F55" s="109" t="s">
        <v>99</v>
      </c>
      <c r="I55" s="97"/>
      <c r="K55" s="109" t="s">
        <v>99</v>
      </c>
      <c r="M55" s="81"/>
      <c r="N55" s="81"/>
    </row>
    <row r="56" spans="1:17" x14ac:dyDescent="0.25">
      <c r="A56" s="94" t="s">
        <v>43</v>
      </c>
      <c r="B56" s="95">
        <f ca="1">IF(G57-H57&lt;0,0,G57-H57)-I57</f>
        <v>640.81013360000088</v>
      </c>
      <c r="C56" s="97"/>
      <c r="E56" s="104"/>
      <c r="F56" s="109" t="s">
        <v>89</v>
      </c>
      <c r="G56" s="109" t="s">
        <v>90</v>
      </c>
      <c r="H56" s="109" t="s">
        <v>91</v>
      </c>
      <c r="I56" s="109" t="s">
        <v>100</v>
      </c>
      <c r="K56" s="109" t="s">
        <v>89</v>
      </c>
      <c r="L56" s="109" t="s">
        <v>123</v>
      </c>
      <c r="M56" s="109" t="s">
        <v>101</v>
      </c>
      <c r="N56" s="109" t="s">
        <v>102</v>
      </c>
      <c r="O56" s="109" t="s">
        <v>95</v>
      </c>
      <c r="P56" s="109" t="s">
        <v>103</v>
      </c>
      <c r="Q56" s="109" t="s">
        <v>104</v>
      </c>
    </row>
    <row r="57" spans="1:17" x14ac:dyDescent="0.25">
      <c r="A57" s="94" t="s">
        <v>44</v>
      </c>
      <c r="B57" s="95">
        <f ca="1">B50-SUM(B53:B56)</f>
        <v>35202.126761400003</v>
      </c>
      <c r="E57" s="97"/>
      <c r="F57" s="124">
        <v>1</v>
      </c>
      <c r="G57" s="104">
        <f ca="1">IF(B52&lt;33389,B52*0.108,(B52-33389)*0.1275+(33389*0.108))</f>
        <v>3506.7006000000001</v>
      </c>
      <c r="H57" s="104">
        <f ca="1">(L57+B53+B54+M57+N57+O57)*0.108</f>
        <v>2691.7499664000002</v>
      </c>
      <c r="I57" s="104">
        <f ca="1">P57+Q57</f>
        <v>174.14049999999912</v>
      </c>
      <c r="K57" s="81">
        <v>1</v>
      </c>
      <c r="L57" s="81">
        <f>9626+9134</f>
        <v>18760</v>
      </c>
      <c r="M57" s="131">
        <f>1491.2+120*8</f>
        <v>2451.1999999999998</v>
      </c>
      <c r="N57" s="103">
        <f ca="1">IF(2065*2-B52*0.09&gt;0,2065*2-B52*0.09,0)</f>
        <v>1207.7494999999999</v>
      </c>
      <c r="O57" s="81">
        <f ca="1">IF(C17-B52*0.03&gt;0,C17-B52*0.03,0)</f>
        <v>90.316500000000133</v>
      </c>
      <c r="P57" s="81">
        <f ca="1">IF(195+195-(B52*0.01)&gt;0,195+195-(B52*0.01),0)</f>
        <v>65.305499999999995</v>
      </c>
      <c r="Q57" s="81">
        <f ca="1">700-(IF(C32&gt;700,700,C32))</f>
        <v>108.83499999999913</v>
      </c>
    </row>
    <row r="58" spans="1:17" x14ac:dyDescent="0.25">
      <c r="A58" s="94" t="s">
        <v>45</v>
      </c>
      <c r="B58" s="95">
        <f ca="1">B57/12</f>
        <v>2933.5105634500001</v>
      </c>
      <c r="F58" s="124"/>
      <c r="G58" s="104"/>
      <c r="H58" s="104"/>
      <c r="I58" s="104"/>
    </row>
    <row r="59" spans="1:17" x14ac:dyDescent="0.25">
      <c r="B59" s="97"/>
      <c r="C59" s="97"/>
      <c r="D59" s="97"/>
    </row>
    <row r="60" spans="1:17" x14ac:dyDescent="0.25">
      <c r="B60" s="97"/>
      <c r="C60" s="97"/>
      <c r="D60" s="97"/>
    </row>
    <row r="61" spans="1:17" s="88" customFormat="1" x14ac:dyDescent="0.25">
      <c r="B61" s="88" t="s">
        <v>124</v>
      </c>
      <c r="M61" s="87"/>
      <c r="N61" s="87"/>
    </row>
    <row r="63" spans="1:17" x14ac:dyDescent="0.25">
      <c r="A63" s="81" t="s">
        <v>106</v>
      </c>
      <c r="D63" s="97">
        <f>B50</f>
        <v>38584</v>
      </c>
    </row>
    <row r="64" spans="1:17" x14ac:dyDescent="0.25">
      <c r="A64" s="81" t="s">
        <v>107</v>
      </c>
      <c r="D64" s="97">
        <f ca="1">SUM(B53:B56)</f>
        <v>3381.8732386000001</v>
      </c>
    </row>
    <row r="65" spans="1:9" x14ac:dyDescent="0.25">
      <c r="A65" s="81" t="s">
        <v>108</v>
      </c>
      <c r="D65" s="97">
        <f ca="1">D63-D64</f>
        <v>35202.126761400003</v>
      </c>
    </row>
    <row r="66" spans="1:9" x14ac:dyDescent="0.25">
      <c r="A66" s="81" t="s">
        <v>109</v>
      </c>
      <c r="D66" s="97">
        <f ca="1">C33</f>
        <v>7868.7035000000005</v>
      </c>
    </row>
    <row r="67" spans="1:9" x14ac:dyDescent="0.25">
      <c r="A67" s="81" t="s">
        <v>110</v>
      </c>
      <c r="D67" s="97">
        <f ca="1">D65+D66</f>
        <v>43070.830261400006</v>
      </c>
    </row>
    <row r="68" spans="1:9" x14ac:dyDescent="0.25">
      <c r="A68" s="81" t="s">
        <v>111</v>
      </c>
      <c r="D68" s="97">
        <f>C20</f>
        <v>43064.481412946261</v>
      </c>
    </row>
    <row r="69" spans="1:9" x14ac:dyDescent="0.25">
      <c r="A69" s="81" t="s">
        <v>112</v>
      </c>
      <c r="D69" s="97">
        <f ca="1">D67-D68</f>
        <v>6.3488484537447221</v>
      </c>
    </row>
    <row r="71" spans="1:9" ht="12.75" customHeight="1" x14ac:dyDescent="0.3">
      <c r="B71" s="97"/>
      <c r="C71" s="86"/>
      <c r="E71" s="86"/>
      <c r="F71" s="86"/>
      <c r="G71" s="86"/>
      <c r="H71" s="86"/>
      <c r="I71" s="86"/>
    </row>
    <row r="72" spans="1:9" x14ac:dyDescent="0.25">
      <c r="B72" s="97"/>
    </row>
    <row r="73" spans="1:9" x14ac:dyDescent="0.25">
      <c r="A73" s="88"/>
      <c r="B73" s="103"/>
      <c r="C73" s="103"/>
      <c r="D73" s="103"/>
      <c r="E73" s="88"/>
      <c r="F73" s="88"/>
      <c r="G73" s="88"/>
      <c r="H73" s="88"/>
      <c r="I73" s="88"/>
    </row>
    <row r="74" spans="1:9" x14ac:dyDescent="0.25">
      <c r="B74" s="97"/>
      <c r="C74" s="125"/>
      <c r="D74" s="97"/>
    </row>
    <row r="75" spans="1:9" ht="15" x14ac:dyDescent="0.25">
      <c r="A75" s="82"/>
      <c r="B75" s="97"/>
      <c r="C75" s="125"/>
      <c r="D75" s="97"/>
    </row>
    <row r="76" spans="1:9" x14ac:dyDescent="0.25">
      <c r="B76" s="97"/>
      <c r="C76" s="126"/>
    </row>
    <row r="77" spans="1:9" x14ac:dyDescent="0.25">
      <c r="B77" s="97"/>
      <c r="C77" s="126"/>
    </row>
    <row r="78" spans="1:9" x14ac:dyDescent="0.25">
      <c r="B78" s="87"/>
      <c r="C78" s="87"/>
      <c r="D78" s="87"/>
      <c r="E78" s="87"/>
      <c r="F78" s="87"/>
    </row>
    <row r="79" spans="1:9" x14ac:dyDescent="0.25">
      <c r="B79" s="87"/>
      <c r="C79" s="87"/>
      <c r="D79" s="87"/>
      <c r="E79" s="87"/>
      <c r="F79" s="87"/>
    </row>
    <row r="80" spans="1:9" x14ac:dyDescent="0.25">
      <c r="B80" s="87"/>
      <c r="C80" s="87"/>
      <c r="D80" s="87"/>
      <c r="E80" s="87"/>
      <c r="F80" s="87"/>
    </row>
    <row r="81" spans="2:6" x14ac:dyDescent="0.25">
      <c r="D81" s="107"/>
      <c r="E81" s="107"/>
      <c r="F81" s="16"/>
    </row>
    <row r="82" spans="2:6" x14ac:dyDescent="0.25">
      <c r="D82" s="107"/>
      <c r="E82" s="107"/>
      <c r="F82" s="16"/>
    </row>
    <row r="83" spans="2:6" x14ac:dyDescent="0.25">
      <c r="D83" s="107"/>
      <c r="E83" s="107"/>
      <c r="F83" s="16"/>
    </row>
    <row r="84" spans="2:6" x14ac:dyDescent="0.25">
      <c r="D84" s="107"/>
      <c r="E84" s="107"/>
      <c r="F84" s="16"/>
    </row>
    <row r="87" spans="2:6" x14ac:dyDescent="0.25">
      <c r="B87" s="87"/>
      <c r="C87" s="87"/>
      <c r="D87" s="87"/>
      <c r="E87" s="87"/>
      <c r="F87" s="87"/>
    </row>
    <row r="88" spans="2:6" x14ac:dyDescent="0.25">
      <c r="B88" s="87"/>
      <c r="C88" s="87"/>
      <c r="D88" s="87"/>
      <c r="E88" s="87"/>
      <c r="F88" s="87"/>
    </row>
    <row r="89" spans="2:6" x14ac:dyDescent="0.25">
      <c r="B89" s="87"/>
      <c r="C89" s="87"/>
      <c r="D89" s="87"/>
      <c r="E89" s="87"/>
      <c r="F89" s="87"/>
    </row>
    <row r="90" spans="2:6" x14ac:dyDescent="0.25">
      <c r="D90" s="107"/>
      <c r="E90" s="107"/>
      <c r="F90" s="16"/>
    </row>
    <row r="91" spans="2:6" x14ac:dyDescent="0.25">
      <c r="D91" s="107"/>
      <c r="E91" s="107"/>
      <c r="F91" s="16"/>
    </row>
    <row r="92" spans="2:6" x14ac:dyDescent="0.25">
      <c r="D92" s="107"/>
      <c r="E92" s="107"/>
      <c r="F92" s="16"/>
    </row>
    <row r="93" spans="2:6" x14ac:dyDescent="0.25">
      <c r="D93" s="107"/>
      <c r="E93" s="107"/>
      <c r="F93" s="16"/>
    </row>
    <row r="94" spans="2:6" x14ac:dyDescent="0.25">
      <c r="B94" s="97"/>
      <c r="C94" s="125"/>
    </row>
    <row r="95" spans="2:6" x14ac:dyDescent="0.25">
      <c r="B95" s="97"/>
      <c r="C95" s="97"/>
      <c r="D95" s="97"/>
    </row>
    <row r="96" spans="2:6" x14ac:dyDescent="0.25">
      <c r="B96" s="97"/>
      <c r="C96" s="126"/>
    </row>
    <row r="97" spans="2:6" x14ac:dyDescent="0.25">
      <c r="B97" s="97"/>
      <c r="C97" s="126"/>
    </row>
    <row r="98" spans="2:6" x14ac:dyDescent="0.25">
      <c r="B98" s="87"/>
      <c r="C98" s="87"/>
      <c r="D98" s="87"/>
      <c r="E98" s="87"/>
      <c r="F98" s="87"/>
    </row>
    <row r="99" spans="2:6" x14ac:dyDescent="0.25">
      <c r="B99" s="87"/>
      <c r="C99" s="87"/>
      <c r="D99" s="87"/>
      <c r="E99" s="87"/>
      <c r="F99" s="87"/>
    </row>
    <row r="100" spans="2:6" x14ac:dyDescent="0.25">
      <c r="B100" s="87"/>
      <c r="C100" s="87"/>
      <c r="D100" s="87"/>
      <c r="E100" s="87"/>
      <c r="F100" s="87"/>
    </row>
    <row r="101" spans="2:6" x14ac:dyDescent="0.25">
      <c r="D101" s="107"/>
      <c r="E101" s="107"/>
      <c r="F101" s="16"/>
    </row>
    <row r="102" spans="2:6" x14ac:dyDescent="0.25">
      <c r="D102" s="107"/>
      <c r="E102" s="107"/>
      <c r="F102" s="16"/>
    </row>
    <row r="103" spans="2:6" x14ac:dyDescent="0.25">
      <c r="D103" s="107"/>
      <c r="E103" s="107"/>
      <c r="F103" s="16"/>
    </row>
    <row r="104" spans="2:6" x14ac:dyDescent="0.25">
      <c r="D104" s="107"/>
      <c r="E104" s="107"/>
      <c r="F104" s="16"/>
    </row>
    <row r="107" spans="2:6" x14ac:dyDescent="0.25">
      <c r="B107" s="87"/>
      <c r="C107" s="87"/>
      <c r="D107" s="87"/>
      <c r="E107" s="87"/>
      <c r="F107" s="87"/>
    </row>
    <row r="108" spans="2:6" x14ac:dyDescent="0.25">
      <c r="B108" s="87"/>
      <c r="C108" s="87"/>
      <c r="D108" s="87"/>
      <c r="E108" s="87"/>
      <c r="F108" s="87"/>
    </row>
    <row r="109" spans="2:6" x14ac:dyDescent="0.25">
      <c r="B109" s="87"/>
      <c r="C109" s="87"/>
      <c r="D109" s="87"/>
      <c r="E109" s="87"/>
      <c r="F109" s="87"/>
    </row>
    <row r="110" spans="2:6" x14ac:dyDescent="0.25">
      <c r="D110" s="107"/>
      <c r="E110" s="107"/>
      <c r="F110" s="16"/>
    </row>
    <row r="111" spans="2:6" x14ac:dyDescent="0.25">
      <c r="D111" s="107"/>
      <c r="E111" s="107"/>
      <c r="F111" s="16"/>
    </row>
    <row r="112" spans="2:6" x14ac:dyDescent="0.25">
      <c r="D112" s="107"/>
      <c r="E112" s="107"/>
      <c r="F112" s="16"/>
    </row>
    <row r="113" spans="4:6" x14ac:dyDescent="0.25">
      <c r="D113" s="107"/>
      <c r="E113" s="107"/>
      <c r="F113" s="16"/>
    </row>
  </sheetData>
  <printOptions gridLines="1"/>
  <pageMargins left="0.75" right="0.5" top="0.5" bottom="0.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1B85-B5F9-474F-9D47-80FB0B9DA226}">
  <sheetPr>
    <tabColor rgb="FFFFC000"/>
  </sheetPr>
  <dimension ref="A1:T113"/>
  <sheetViews>
    <sheetView zoomScale="75" zoomScaleNormal="75" workbookViewId="0">
      <selection activeCell="C11" sqref="C11"/>
    </sheetView>
  </sheetViews>
  <sheetFormatPr defaultColWidth="8.5546875" defaultRowHeight="13.2" x14ac:dyDescent="0.25"/>
  <cols>
    <col min="1" max="1" width="16.5546875" style="21" customWidth="1"/>
    <col min="2" max="2" width="9.5546875" style="21" bestFit="1" customWidth="1"/>
    <col min="3" max="3" width="10.44140625" style="21" customWidth="1"/>
    <col min="4" max="4" width="8.5546875" style="2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17.44140625" style="21" customWidth="1"/>
    <col min="12" max="12" width="8.5546875" style="21"/>
    <col min="13" max="14" width="15.44140625" style="45" customWidth="1"/>
    <col min="15" max="15" width="8.5546875" style="21"/>
    <col min="16" max="16" width="8" style="21" customWidth="1"/>
    <col min="17" max="17" width="7.44140625" style="21" customWidth="1"/>
    <col min="18" max="16384" width="8.5546875" style="21"/>
  </cols>
  <sheetData>
    <row r="1" spans="1:20" ht="17.399999999999999" x14ac:dyDescent="0.3">
      <c r="A1" s="20" t="s">
        <v>114</v>
      </c>
      <c r="B1" s="20"/>
    </row>
    <row r="2" spans="1:20" s="22" customFormat="1" ht="15" customHeight="1" x14ac:dyDescent="0.3">
      <c r="C2" s="22" t="s">
        <v>126</v>
      </c>
      <c r="D2" s="23"/>
      <c r="E2" s="24"/>
      <c r="M2" s="68"/>
      <c r="N2" s="68"/>
    </row>
    <row r="3" spans="1:20" ht="15.6" x14ac:dyDescent="0.3">
      <c r="A3" s="25"/>
      <c r="C3" s="21" t="s">
        <v>127</v>
      </c>
      <c r="D3" s="23"/>
      <c r="E3" s="24"/>
      <c r="F3" s="22"/>
      <c r="G3" s="22"/>
      <c r="H3" s="22"/>
      <c r="I3" s="22"/>
      <c r="J3" s="22"/>
    </row>
    <row r="4" spans="1:20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20" ht="15.6" x14ac:dyDescent="0.3">
      <c r="B5" s="26" t="s">
        <v>49</v>
      </c>
      <c r="M5" s="27"/>
      <c r="N5" s="27"/>
      <c r="O5" s="28"/>
      <c r="P5" s="28"/>
      <c r="Q5" s="28"/>
    </row>
    <row r="6" spans="1:20" ht="12.75" customHeight="1" x14ac:dyDescent="0.3">
      <c r="C6" s="26"/>
      <c r="J6" s="27"/>
      <c r="R6" s="29"/>
    </row>
    <row r="7" spans="1:20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34434.400000000001</v>
      </c>
      <c r="J7" s="27"/>
      <c r="M7" s="21"/>
      <c r="N7" s="21"/>
      <c r="P7" s="29"/>
    </row>
    <row r="8" spans="1:20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299</v>
      </c>
      <c r="J8" s="38"/>
      <c r="M8" s="21"/>
      <c r="N8" s="21"/>
      <c r="P8" s="29"/>
      <c r="Q8" s="44"/>
    </row>
    <row r="9" spans="1:20" x14ac:dyDescent="0.25">
      <c r="A9" s="205" t="s">
        <v>14</v>
      </c>
      <c r="B9" s="36">
        <f>C9/12</f>
        <v>305.927634194831</v>
      </c>
      <c r="C9" s="36">
        <f>((12022*(153.6/150.9))/4)*1.2</f>
        <v>3671.1316103379718</v>
      </c>
      <c r="D9" s="40">
        <f>C9/C20</f>
        <v>0.12698942179114717</v>
      </c>
      <c r="E9" s="40">
        <f>C9/B50</f>
        <v>0.10661232983115639</v>
      </c>
      <c r="F9" s="41"/>
      <c r="G9" s="38"/>
      <c r="H9" s="42" t="s">
        <v>64</v>
      </c>
      <c r="I9" s="43">
        <f ca="1">I7+I8</f>
        <v>34733.4</v>
      </c>
      <c r="J9" s="27"/>
      <c r="M9" s="21"/>
      <c r="N9" s="21"/>
      <c r="P9" s="29"/>
      <c r="Q9" s="44"/>
      <c r="T9" s="29"/>
    </row>
    <row r="10" spans="1:20" x14ac:dyDescent="0.25">
      <c r="A10" s="205" t="s">
        <v>15</v>
      </c>
      <c r="B10" s="36">
        <f>C10/12</f>
        <v>85.265329768270945</v>
      </c>
      <c r="C10" s="36">
        <f>((2042*(93.7/93.5))/2)*SQRT(1)</f>
        <v>1023.1839572192514</v>
      </c>
      <c r="D10" s="40">
        <f>C10/C20</f>
        <v>3.539332088976474E-2</v>
      </c>
      <c r="E10" s="40">
        <f>C10/B50</f>
        <v>2.9714005680925217E-2</v>
      </c>
      <c r="F10" s="41"/>
      <c r="H10" s="45"/>
      <c r="I10" s="45"/>
      <c r="J10" s="38"/>
      <c r="M10" s="21"/>
      <c r="N10" s="21"/>
      <c r="P10" s="29"/>
      <c r="Q10" s="44"/>
      <c r="T10" s="29"/>
    </row>
    <row r="11" spans="1:20" x14ac:dyDescent="0.25">
      <c r="A11" s="205" t="s">
        <v>16</v>
      </c>
      <c r="B11" s="36">
        <f>C11/12</f>
        <v>1083.1426897256276</v>
      </c>
      <c r="C11" s="36">
        <f>(1000*12)+(487.63*(163.4/114.2))+(25*12)</f>
        <v>12997.712276707531</v>
      </c>
      <c r="D11" s="40">
        <f>C11/C20</f>
        <v>0.44960849727608365</v>
      </c>
      <c r="E11" s="40">
        <f>C11/B50</f>
        <v>0.37746301014995265</v>
      </c>
      <c r="G11" s="38"/>
      <c r="H11" s="25" t="s">
        <v>67</v>
      </c>
      <c r="I11" s="46">
        <f ca="1">B55+B56</f>
        <v>3586.1588534399993</v>
      </c>
      <c r="J11" s="27"/>
      <c r="M11" s="21"/>
      <c r="N11" s="21"/>
      <c r="P11" s="29"/>
      <c r="Q11" s="44"/>
      <c r="T11" s="29"/>
    </row>
    <row r="12" spans="1:20" x14ac:dyDescent="0.25">
      <c r="A12" s="205" t="s">
        <v>17</v>
      </c>
      <c r="B12" s="36">
        <f>C12/12</f>
        <v>106</v>
      </c>
      <c r="C12" s="36">
        <f>(106*12)</f>
        <v>1272</v>
      </c>
      <c r="D12" s="40">
        <f>C12/C20</f>
        <v>4.4000205294592636E-2</v>
      </c>
      <c r="E12" s="40">
        <f>C12/B50</f>
        <v>3.6939804381664845E-2</v>
      </c>
      <c r="F12" s="41"/>
      <c r="H12" s="46" t="s">
        <v>68</v>
      </c>
      <c r="I12" s="46">
        <f ca="1">C33</f>
        <v>299</v>
      </c>
      <c r="J12" s="29"/>
      <c r="M12" s="21"/>
      <c r="N12" s="21"/>
      <c r="P12" s="29"/>
      <c r="Q12" s="44"/>
      <c r="T12" s="29"/>
    </row>
    <row r="13" spans="1:20" x14ac:dyDescent="0.25">
      <c r="A13" s="205" t="s">
        <v>18</v>
      </c>
      <c r="B13" s="36">
        <f>C13/12</f>
        <v>491.10484848484845</v>
      </c>
      <c r="C13" s="36">
        <f>11413*(142/137.5)/2*SQRT(1)</f>
        <v>5893.2581818181816</v>
      </c>
      <c r="D13" s="40">
        <f>C13/C20</f>
        <v>0.20385579391040701</v>
      </c>
      <c r="E13" s="40">
        <f>C13/B50</f>
        <v>0.171144500319976</v>
      </c>
      <c r="H13" s="43" t="s">
        <v>70</v>
      </c>
      <c r="I13" s="43">
        <f ca="1">I11-I12</f>
        <v>3287.1588534399993</v>
      </c>
      <c r="J13" s="38"/>
      <c r="K13" s="38"/>
      <c r="P13" s="29"/>
      <c r="Q13" s="44"/>
      <c r="T13" s="29"/>
    </row>
    <row r="14" spans="1:20" s="49" customFormat="1" x14ac:dyDescent="0.25">
      <c r="A14" s="37" t="s">
        <v>19</v>
      </c>
      <c r="B14" s="47">
        <f>SUM(B9:B13)</f>
        <v>2071.4405021735779</v>
      </c>
      <c r="C14" s="47">
        <f>SUM(C9:C13)</f>
        <v>24857.286026082937</v>
      </c>
      <c r="D14" s="48">
        <f>C14/C20</f>
        <v>0.85984723916199524</v>
      </c>
      <c r="E14" s="48">
        <f>C14/B50</f>
        <v>0.72187365036367512</v>
      </c>
      <c r="G14" s="43"/>
      <c r="H14" s="46" t="s">
        <v>71</v>
      </c>
      <c r="I14" s="46">
        <f>B53+B54</f>
        <v>2229.9883199999999</v>
      </c>
      <c r="J14" s="43"/>
      <c r="K14" s="43"/>
      <c r="M14" s="45"/>
      <c r="N14" s="45"/>
      <c r="O14" s="50"/>
      <c r="P14" s="29"/>
      <c r="Q14" s="44"/>
      <c r="R14" s="21"/>
      <c r="S14" s="21"/>
      <c r="T14" s="29"/>
    </row>
    <row r="15" spans="1:20" x14ac:dyDescent="0.25">
      <c r="A15" s="205" t="s">
        <v>20</v>
      </c>
      <c r="B15" s="36">
        <f>C15/12</f>
        <v>0</v>
      </c>
      <c r="C15" s="36">
        <f>M11</f>
        <v>0</v>
      </c>
      <c r="D15" s="40">
        <f>C15/C20</f>
        <v>0</v>
      </c>
      <c r="E15" s="40">
        <f>C15/B50</f>
        <v>0</v>
      </c>
      <c r="G15" s="38"/>
      <c r="H15" s="49" t="s">
        <v>72</v>
      </c>
      <c r="I15" s="43">
        <f ca="1">I13+I14</f>
        <v>5517.1471734399993</v>
      </c>
      <c r="J15" s="38"/>
      <c r="K15" s="38"/>
      <c r="P15" s="29"/>
      <c r="Q15" s="44"/>
      <c r="R15" s="49"/>
      <c r="T15" s="29"/>
    </row>
    <row r="16" spans="1:20" x14ac:dyDescent="0.25">
      <c r="A16" s="20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P16" s="29"/>
      <c r="Q16" s="44"/>
      <c r="T16" s="29"/>
    </row>
    <row r="17" spans="1:20" x14ac:dyDescent="0.25">
      <c r="A17" s="205" t="s">
        <v>22</v>
      </c>
      <c r="B17" s="36">
        <f>C17/12</f>
        <v>68.25</v>
      </c>
      <c r="C17" s="36">
        <f>(68.25)*12</f>
        <v>819</v>
      </c>
      <c r="D17" s="40">
        <f>C17/C20</f>
        <v>2.833032086184856E-2</v>
      </c>
      <c r="E17" s="40">
        <f>C17/B50</f>
        <v>2.3784355179704016E-2</v>
      </c>
      <c r="G17" s="38"/>
      <c r="H17" s="38"/>
      <c r="I17" s="38"/>
      <c r="J17" s="38"/>
      <c r="K17" s="38"/>
      <c r="P17" s="29"/>
      <c r="Q17" s="44"/>
      <c r="T17" s="29"/>
    </row>
    <row r="18" spans="1:20" x14ac:dyDescent="0.25">
      <c r="A18" s="205" t="s">
        <v>23</v>
      </c>
      <c r="B18" s="36">
        <f>C18/12</f>
        <v>159.02250000000001</v>
      </c>
      <c r="C18" s="36">
        <v>1908.27</v>
      </c>
      <c r="D18" s="40">
        <f>C18/C20</f>
        <v>6.6009647608107139E-2</v>
      </c>
      <c r="E18" s="40">
        <f>C18/B50</f>
        <v>5.5417547568710354E-2</v>
      </c>
      <c r="G18" s="38"/>
      <c r="H18" s="38"/>
      <c r="I18" s="38"/>
      <c r="J18" s="38"/>
      <c r="K18" s="38"/>
      <c r="P18" s="29"/>
      <c r="Q18" s="44"/>
      <c r="T18" s="29"/>
    </row>
    <row r="19" spans="1:20" x14ac:dyDescent="0.25">
      <c r="A19" s="35" t="s">
        <v>24</v>
      </c>
      <c r="B19" s="36">
        <f>C19/12</f>
        <v>110.36666666666667</v>
      </c>
      <c r="C19" s="36">
        <f>B47*B48*2</f>
        <v>1324.4</v>
      </c>
      <c r="D19" s="40">
        <f>C19/C20</f>
        <v>4.5812792368049124E-2</v>
      </c>
      <c r="E19" s="40">
        <f>C19/B50</f>
        <v>3.8461538461538464E-2</v>
      </c>
      <c r="G19" s="38"/>
      <c r="H19" s="38"/>
      <c r="I19" s="38"/>
      <c r="J19" s="38"/>
      <c r="K19" s="38"/>
      <c r="P19" s="29"/>
      <c r="Q19" s="44"/>
      <c r="T19" s="29"/>
    </row>
    <row r="20" spans="1:20" x14ac:dyDescent="0.25">
      <c r="A20" s="35" t="s">
        <v>25</v>
      </c>
      <c r="B20" s="36">
        <f>SUM(B9:B19)-B14</f>
        <v>2409.0796688402447</v>
      </c>
      <c r="C20" s="36">
        <f>SUM(C9:C19)-C14</f>
        <v>28908.956026082935</v>
      </c>
      <c r="D20" s="40">
        <f>C20/C20</f>
        <v>1</v>
      </c>
      <c r="E20" s="40">
        <f>SUM(E9:E18)-E14</f>
        <v>0.80107555311208967</v>
      </c>
      <c r="G20" s="38"/>
      <c r="H20" s="38"/>
      <c r="I20" s="29"/>
      <c r="J20" s="38"/>
      <c r="K20" s="38"/>
      <c r="P20" s="29"/>
      <c r="Q20" s="44"/>
      <c r="T20" s="29"/>
    </row>
    <row r="21" spans="1:20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P21" s="29"/>
      <c r="Q21" s="44"/>
      <c r="T21" s="29"/>
    </row>
    <row r="22" spans="1:20" x14ac:dyDescent="0.25">
      <c r="B22" s="38"/>
      <c r="C22" s="38"/>
      <c r="P22" s="29"/>
      <c r="Q22" s="44"/>
      <c r="T22" s="29"/>
    </row>
    <row r="23" spans="1:20" ht="15.6" x14ac:dyDescent="0.3">
      <c r="B23" s="26" t="s">
        <v>73</v>
      </c>
      <c r="P23" s="29"/>
      <c r="Q23" s="44"/>
      <c r="T23" s="29"/>
    </row>
    <row r="24" spans="1:20" ht="12.75" customHeight="1" x14ac:dyDescent="0.3">
      <c r="C24" s="26"/>
      <c r="P24" s="29"/>
      <c r="Q24" s="44"/>
      <c r="T24" s="29"/>
    </row>
    <row r="25" spans="1:20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P25" s="29"/>
      <c r="Q25" s="44"/>
    </row>
    <row r="26" spans="1:20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P26" s="29"/>
      <c r="Q26" s="44"/>
    </row>
    <row r="27" spans="1:20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P27" s="29"/>
      <c r="Q27" s="44"/>
    </row>
    <row r="28" spans="1:20" x14ac:dyDescent="0.25">
      <c r="A28" s="206" t="s">
        <v>27</v>
      </c>
      <c r="B28" s="57">
        <f>C28/12</f>
        <v>0</v>
      </c>
      <c r="C28" s="36">
        <f>MAX(0,E28)</f>
        <v>0</v>
      </c>
      <c r="D28" s="65"/>
      <c r="E28" s="58"/>
      <c r="F28" s="59"/>
      <c r="G28" s="59"/>
      <c r="H28" s="60"/>
      <c r="K28" s="25"/>
      <c r="P28" s="29"/>
      <c r="Q28" s="44"/>
    </row>
    <row r="29" spans="1:20" x14ac:dyDescent="0.25">
      <c r="A29" s="206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P29" s="29"/>
      <c r="Q29" s="44"/>
    </row>
    <row r="30" spans="1:20" x14ac:dyDescent="0.25">
      <c r="A30" s="206" t="s">
        <v>28</v>
      </c>
      <c r="B30" s="36">
        <f ca="1">(C30)/12</f>
        <v>24.916666666666668</v>
      </c>
      <c r="C30" s="36">
        <f ca="1">G30</f>
        <v>299</v>
      </c>
      <c r="D30" s="25"/>
      <c r="E30" s="46">
        <f>299</f>
        <v>299</v>
      </c>
      <c r="F30" s="25">
        <f ca="1">IF((B52-38892)*0.05&gt;0,(B52-38892)*0.05,0)</f>
        <v>0</v>
      </c>
      <c r="G30" s="46">
        <f ca="1">IF(E30&gt;F30,E30-F30,0)</f>
        <v>299</v>
      </c>
      <c r="H30" s="38"/>
      <c r="I30" s="38"/>
      <c r="K30" s="25"/>
      <c r="P30" s="29"/>
    </row>
    <row r="31" spans="1:20" x14ac:dyDescent="0.25">
      <c r="A31" s="206" t="s">
        <v>29</v>
      </c>
      <c r="B31" s="36">
        <f ca="1">C31/12</f>
        <v>0</v>
      </c>
      <c r="C31" s="36">
        <f ca="1">IF(C15&gt;F34,C15-F34,0)</f>
        <v>0</v>
      </c>
      <c r="D31" s="46"/>
      <c r="E31" s="21" t="s">
        <v>119</v>
      </c>
      <c r="H31" s="38"/>
      <c r="J31" s="38"/>
      <c r="K31" s="25"/>
    </row>
    <row r="32" spans="1:20" x14ac:dyDescent="0.25">
      <c r="A32" s="206" t="s">
        <v>82</v>
      </c>
      <c r="B32" s="36">
        <f ca="1">E32</f>
        <v>0</v>
      </c>
      <c r="C32" s="36">
        <f ca="1">E32*12</f>
        <v>0</v>
      </c>
      <c r="D32" s="46"/>
      <c r="E32" s="46">
        <f ca="1">IF(B52&lt;24640,(0.8*792-B52*0.3/12),0)</f>
        <v>0</v>
      </c>
      <c r="H32" s="38"/>
      <c r="J32" s="38"/>
      <c r="K32" s="25"/>
    </row>
    <row r="33" spans="1:16" x14ac:dyDescent="0.25">
      <c r="A33" s="35" t="s">
        <v>25</v>
      </c>
      <c r="B33" s="36">
        <f ca="1">SUM(B26:B32)</f>
        <v>24.916666666666668</v>
      </c>
      <c r="C33" s="36">
        <f ca="1">SUM(C26:C32)</f>
        <v>299</v>
      </c>
      <c r="E33" s="52" t="s">
        <v>83</v>
      </c>
      <c r="F33" s="52" t="s">
        <v>84</v>
      </c>
      <c r="G33" s="52"/>
      <c r="H33" s="38"/>
      <c r="I33" s="38"/>
      <c r="M33" s="27"/>
      <c r="N33" s="27"/>
      <c r="O33" s="28"/>
      <c r="P33" s="61"/>
    </row>
    <row r="34" spans="1:16" x14ac:dyDescent="0.25">
      <c r="B34" s="38"/>
      <c r="C34" s="38"/>
      <c r="E34" s="21">
        <v>15924</v>
      </c>
      <c r="F34" s="38">
        <f ca="1">IF(IF((B52-E34+7766)&lt;0,(B52-E34)*0.25,(B52-E34+7766)*0.5+1942)&gt;0,IF((B52-E34+7766)&lt;0,(B52-E34)*0.25,(B52-E34+7766)*0.5+1942),O8+M9)</f>
        <v>15080.2</v>
      </c>
      <c r="H34" s="38"/>
      <c r="I34" s="38"/>
    </row>
    <row r="35" spans="1:16" x14ac:dyDescent="0.25">
      <c r="B35" s="38"/>
      <c r="C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6" x14ac:dyDescent="0.25">
      <c r="A39" s="35" t="s">
        <v>31</v>
      </c>
      <c r="B39" s="36"/>
      <c r="C39" s="36">
        <f ca="1">C33+B57</f>
        <v>28917.252826560001</v>
      </c>
      <c r="E39" s="52"/>
      <c r="F39" s="52"/>
      <c r="G39" s="52"/>
      <c r="H39" s="53"/>
      <c r="I39" s="53"/>
    </row>
    <row r="40" spans="1:16" x14ac:dyDescent="0.25">
      <c r="A40" s="35" t="s">
        <v>120</v>
      </c>
      <c r="B40" s="36"/>
      <c r="C40" s="36">
        <f>C20</f>
        <v>28908.956026082935</v>
      </c>
      <c r="E40" s="52"/>
      <c r="F40" s="52"/>
      <c r="G40" s="52"/>
      <c r="H40" s="70"/>
      <c r="I40" s="53"/>
    </row>
    <row r="41" spans="1:16" x14ac:dyDescent="0.25">
      <c r="A41" s="35" t="s">
        <v>33</v>
      </c>
      <c r="B41" s="36"/>
      <c r="C41" s="36">
        <f ca="1">C39-C40</f>
        <v>8.2968004770664265</v>
      </c>
      <c r="E41" s="38"/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A44" s="63" t="s">
        <v>121</v>
      </c>
    </row>
    <row r="45" spans="1:16" x14ac:dyDescent="0.25">
      <c r="B45" s="27"/>
    </row>
    <row r="46" spans="1:16" s="45" customFormat="1" x14ac:dyDescent="0.25">
      <c r="A46" s="31"/>
      <c r="B46" s="71" t="s">
        <v>128</v>
      </c>
      <c r="C46" s="27"/>
      <c r="D46" s="27"/>
    </row>
    <row r="47" spans="1:16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6" x14ac:dyDescent="0.25">
      <c r="A48" s="35" t="s">
        <v>36</v>
      </c>
      <c r="B48" s="72">
        <v>18.920000000000002</v>
      </c>
      <c r="E48" s="45"/>
      <c r="F48" s="45"/>
      <c r="G48" s="45"/>
      <c r="H48" s="45"/>
      <c r="I48" s="45"/>
    </row>
    <row r="49" spans="1:18" ht="3.75" customHeight="1" x14ac:dyDescent="0.25">
      <c r="A49" s="30"/>
      <c r="B49" s="30">
        <v>40</v>
      </c>
      <c r="E49" s="45"/>
      <c r="F49" s="45"/>
      <c r="G49" s="45"/>
      <c r="H49" s="45"/>
      <c r="I49" s="45"/>
    </row>
    <row r="50" spans="1:18" x14ac:dyDescent="0.25">
      <c r="A50" s="35" t="s">
        <v>122</v>
      </c>
      <c r="B50" s="36">
        <f>B48*B47*52</f>
        <v>34434.400000000001</v>
      </c>
      <c r="E50" s="45"/>
      <c r="F50" s="52" t="s">
        <v>88</v>
      </c>
      <c r="I50" s="38"/>
      <c r="K50" s="52" t="s">
        <v>88</v>
      </c>
      <c r="M50" s="21"/>
      <c r="N50" s="21"/>
    </row>
    <row r="51" spans="1:18" x14ac:dyDescent="0.25">
      <c r="A51" s="35" t="s">
        <v>38</v>
      </c>
      <c r="B51" s="36">
        <f ca="1">-C15+C31</f>
        <v>0</v>
      </c>
      <c r="E51" s="45"/>
      <c r="F51" s="52" t="s">
        <v>129</v>
      </c>
      <c r="G51" s="52" t="s">
        <v>90</v>
      </c>
      <c r="H51" s="52" t="s">
        <v>91</v>
      </c>
      <c r="I51" s="52" t="s">
        <v>92</v>
      </c>
      <c r="K51" s="52" t="s">
        <v>129</v>
      </c>
      <c r="L51" s="52" t="s">
        <v>130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  <c r="R51" s="49" t="s">
        <v>163</v>
      </c>
    </row>
    <row r="52" spans="1:18" x14ac:dyDescent="0.25">
      <c r="A52" s="35" t="s">
        <v>39</v>
      </c>
      <c r="B52" s="36">
        <f ca="1">B50+B51</f>
        <v>34434.400000000001</v>
      </c>
      <c r="E52" s="45"/>
      <c r="F52" s="64">
        <v>1</v>
      </c>
      <c r="G52" s="46">
        <f ca="1">B52*0.15</f>
        <v>5165.16</v>
      </c>
      <c r="H52" s="46">
        <f ca="1">(L52+B53+B54+M52+N52+R52)*0.15</f>
        <v>2835.4887480000002</v>
      </c>
      <c r="I52" s="46">
        <f ca="1">IF(O52&gt;0, O52,0)+P52+Q52</f>
        <v>360</v>
      </c>
      <c r="K52" s="21">
        <v>1</v>
      </c>
      <c r="L52" s="38">
        <v>13808</v>
      </c>
      <c r="M52" s="38">
        <v>1257</v>
      </c>
      <c r="N52" s="45">
        <f ca="1">IF(C17-B52*0.03&gt;0,C17-B52*0.03,0)</f>
        <v>0</v>
      </c>
      <c r="O52" s="21">
        <f>MAX(IF((B50-3000)*0.27&lt;1395,(B50-3000)*0.27,1395)-IF(B50-22944&gt;0,B50-22944,0)*0.15,0)</f>
        <v>0</v>
      </c>
      <c r="P52" s="21">
        <f ca="1">IF((0.25*N52 - 0.05*(B52-28446))&gt;0,(0.25*N52 - 0.05*(B52-28446)),0)</f>
        <v>0</v>
      </c>
      <c r="Q52" s="21">
        <f>360</f>
        <v>360</v>
      </c>
      <c r="R52" s="21">
        <v>1608.27</v>
      </c>
    </row>
    <row r="53" spans="1:18" x14ac:dyDescent="0.25">
      <c r="A53" s="206" t="s">
        <v>40</v>
      </c>
      <c r="B53" s="36">
        <f>IF(B50*0.0158&lt;889.54,B50*0.0158,889.54)</f>
        <v>544.06352000000004</v>
      </c>
      <c r="E53" s="45"/>
      <c r="F53" s="64"/>
      <c r="G53" s="46"/>
      <c r="H53" s="46"/>
      <c r="I53" s="38"/>
    </row>
    <row r="54" spans="1:18" x14ac:dyDescent="0.25">
      <c r="A54" s="206" t="s">
        <v>41</v>
      </c>
      <c r="B54" s="36">
        <f>IF(((B50-3500)*0.0545)&lt;3166.45,(B50-3500)*0.0545,3166.45)</f>
        <v>1685.9248</v>
      </c>
      <c r="C54" s="45"/>
      <c r="E54" s="45"/>
    </row>
    <row r="55" spans="1:18" x14ac:dyDescent="0.25">
      <c r="A55" s="206" t="s">
        <v>42</v>
      </c>
      <c r="B55" s="36">
        <f ca="1">IF(G52-H52&lt;0,0,G52-H52)-I52</f>
        <v>1969.6712519999996</v>
      </c>
      <c r="C55" s="45"/>
      <c r="E55" s="45"/>
      <c r="F55" s="52" t="s">
        <v>99</v>
      </c>
      <c r="I55" s="38"/>
      <c r="K55" s="52" t="s">
        <v>99</v>
      </c>
      <c r="M55" s="21"/>
      <c r="N55" s="21"/>
    </row>
    <row r="56" spans="1:18" x14ac:dyDescent="0.25">
      <c r="A56" s="206" t="s">
        <v>43</v>
      </c>
      <c r="B56" s="36">
        <f ca="1">IF(G57-H57&lt;0,0,G57-H57)-I57</f>
        <v>1616.4876014399997</v>
      </c>
      <c r="C56" s="38"/>
      <c r="E56" s="46"/>
      <c r="F56" s="52" t="s">
        <v>129</v>
      </c>
      <c r="G56" s="52" t="s">
        <v>90</v>
      </c>
      <c r="H56" s="52" t="s">
        <v>91</v>
      </c>
      <c r="I56" s="52" t="s">
        <v>100</v>
      </c>
      <c r="K56" s="52" t="s">
        <v>129</v>
      </c>
      <c r="L56" s="52" t="s">
        <v>123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8" x14ac:dyDescent="0.25">
      <c r="A57" s="35" t="s">
        <v>44</v>
      </c>
      <c r="B57" s="36">
        <f ca="1">B50-SUM(B53:B56)</f>
        <v>28618.252826560001</v>
      </c>
      <c r="E57" s="38"/>
      <c r="F57" s="64">
        <v>1</v>
      </c>
      <c r="G57" s="46">
        <f ca="1">IF(B52&lt;33723,B52*0.108,(B52-33723)*0.1275+(33723*0.108))</f>
        <v>3732.7874999999999</v>
      </c>
      <c r="H57" s="46">
        <f ca="1">(L57+B53+B54+M57+N57+O57)*0.108</f>
        <v>1591.29989856</v>
      </c>
      <c r="I57" s="46">
        <f ca="1">P57+Q57</f>
        <v>525</v>
      </c>
      <c r="K57" s="21">
        <v>1</v>
      </c>
      <c r="L57" s="21">
        <v>9936</v>
      </c>
      <c r="M57" s="73">
        <f>1608.27+120*8</f>
        <v>2568.27</v>
      </c>
      <c r="O57" s="21">
        <f ca="1">IF(C17-B52*0.03&gt;0,C17-B52*0.03,0)</f>
        <v>0</v>
      </c>
      <c r="P57" s="21">
        <f ca="1">IF(195-(B52*0.01)&gt;0,195-(B52*0.01),0)</f>
        <v>0</v>
      </c>
      <c r="Q57" s="21">
        <f ca="1">525-(IF(C32&gt;525,525,C32))</f>
        <v>525</v>
      </c>
    </row>
    <row r="58" spans="1:18" x14ac:dyDescent="0.25">
      <c r="A58" s="35" t="s">
        <v>45</v>
      </c>
      <c r="B58" s="36">
        <f ca="1">B57/12</f>
        <v>2384.8544022133333</v>
      </c>
      <c r="F58" s="64"/>
      <c r="G58" s="46"/>
      <c r="H58" s="46"/>
      <c r="I58" s="46"/>
    </row>
    <row r="59" spans="1:18" x14ac:dyDescent="0.25">
      <c r="B59" s="38"/>
      <c r="C59" s="38"/>
      <c r="D59" s="38"/>
    </row>
    <row r="60" spans="1:18" x14ac:dyDescent="0.25">
      <c r="B60" s="38"/>
      <c r="C60" s="38"/>
      <c r="D60" s="38"/>
    </row>
    <row r="61" spans="1:18" s="28" customFormat="1" x14ac:dyDescent="0.25">
      <c r="B61" s="28" t="s">
        <v>124</v>
      </c>
      <c r="M61" s="27"/>
      <c r="N61" s="27"/>
    </row>
    <row r="63" spans="1:18" x14ac:dyDescent="0.25">
      <c r="A63" s="21" t="s">
        <v>106</v>
      </c>
      <c r="D63" s="38">
        <f>B50</f>
        <v>34434.400000000001</v>
      </c>
    </row>
    <row r="64" spans="1:18" x14ac:dyDescent="0.25">
      <c r="A64" s="21" t="s">
        <v>107</v>
      </c>
      <c r="D64" s="38">
        <f ca="1">SUM(B53:B56)</f>
        <v>5816.1471734399993</v>
      </c>
    </row>
    <row r="65" spans="1:9" x14ac:dyDescent="0.25">
      <c r="A65" s="21" t="s">
        <v>108</v>
      </c>
      <c r="D65" s="38">
        <f ca="1">D63-D64</f>
        <v>28618.252826560001</v>
      </c>
    </row>
    <row r="66" spans="1:9" x14ac:dyDescent="0.25">
      <c r="A66" s="21" t="s">
        <v>109</v>
      </c>
      <c r="D66" s="38">
        <f ca="1">C33</f>
        <v>299</v>
      </c>
    </row>
    <row r="67" spans="1:9" x14ac:dyDescent="0.25">
      <c r="A67" s="21" t="s">
        <v>110</v>
      </c>
      <c r="D67" s="38">
        <f ca="1">D65+D66</f>
        <v>28917.252826560001</v>
      </c>
    </row>
    <row r="68" spans="1:9" x14ac:dyDescent="0.25">
      <c r="A68" s="21" t="s">
        <v>111</v>
      </c>
      <c r="D68" s="38">
        <f>C20</f>
        <v>28908.956026082935</v>
      </c>
    </row>
    <row r="69" spans="1:9" x14ac:dyDescent="0.25">
      <c r="A69" s="21" t="s">
        <v>112</v>
      </c>
      <c r="D69" s="38">
        <f ca="1">D67-D68</f>
        <v>8.2968004770664265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rintOptions gridLines="1"/>
  <pageMargins left="0.75" right="0.5" top="0.5" bottom="0.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6E78-78BB-47E9-B62D-69DBA1072491}">
  <dimension ref="A1:T113"/>
  <sheetViews>
    <sheetView topLeftCell="A25" workbookViewId="0">
      <selection activeCell="B49" sqref="B49"/>
    </sheetView>
  </sheetViews>
  <sheetFormatPr defaultColWidth="8.6640625" defaultRowHeight="13.2" x14ac:dyDescent="0.25"/>
  <cols>
    <col min="1" max="1" width="16.6640625" style="21" customWidth="1"/>
    <col min="2" max="2" width="9.6640625" style="21" bestFit="1" customWidth="1"/>
    <col min="3" max="3" width="10.44140625" style="21" customWidth="1"/>
    <col min="4" max="4" width="8.6640625" style="21"/>
    <col min="5" max="5" width="10.6640625" style="21" customWidth="1"/>
    <col min="6" max="6" width="11.109375" style="21" customWidth="1"/>
    <col min="7" max="7" width="8.6640625" style="21"/>
    <col min="8" max="8" width="12.33203125" style="21" customWidth="1"/>
    <col min="9" max="9" width="8.44140625" style="21" customWidth="1"/>
    <col min="10" max="10" width="8.6640625" style="21"/>
    <col min="11" max="11" width="17.44140625" style="21" customWidth="1"/>
    <col min="12" max="12" width="8.6640625" style="21"/>
    <col min="13" max="14" width="15.44140625" style="45" customWidth="1"/>
    <col min="15" max="15" width="8.6640625" style="21"/>
    <col min="16" max="16" width="8" style="21" customWidth="1"/>
    <col min="17" max="17" width="7.44140625" style="21" customWidth="1"/>
    <col min="18" max="16384" width="8.6640625" style="21"/>
  </cols>
  <sheetData>
    <row r="1" spans="1:20" ht="17.399999999999999" x14ac:dyDescent="0.3">
      <c r="A1" s="20" t="s">
        <v>125</v>
      </c>
      <c r="B1" s="20"/>
    </row>
    <row r="2" spans="1:20" s="22" customFormat="1" ht="15" customHeight="1" x14ac:dyDescent="0.3">
      <c r="C2" s="22" t="s">
        <v>126</v>
      </c>
      <c r="D2" s="23"/>
      <c r="E2" s="24"/>
      <c r="M2" s="68"/>
      <c r="N2" s="68"/>
    </row>
    <row r="3" spans="1:20" ht="15.6" x14ac:dyDescent="0.3">
      <c r="A3" s="25"/>
      <c r="C3" s="21" t="s">
        <v>164</v>
      </c>
      <c r="D3" s="23"/>
      <c r="E3" s="24"/>
      <c r="F3" s="22"/>
      <c r="G3" s="22"/>
      <c r="H3" s="22"/>
      <c r="I3" s="22"/>
      <c r="J3" s="22"/>
    </row>
    <row r="4" spans="1:20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20" ht="15.6" x14ac:dyDescent="0.3">
      <c r="B5" s="26" t="s">
        <v>49</v>
      </c>
      <c r="M5" s="27"/>
      <c r="N5" s="27"/>
      <c r="O5" s="28"/>
      <c r="P5" s="28"/>
      <c r="Q5" s="28"/>
    </row>
    <row r="6" spans="1:20" ht="12.75" customHeight="1" x14ac:dyDescent="0.3">
      <c r="C6" s="26"/>
      <c r="J6" s="27"/>
      <c r="R6" s="29"/>
    </row>
    <row r="7" spans="1:20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29866.2</v>
      </c>
      <c r="J7" s="27"/>
      <c r="M7" s="21"/>
      <c r="N7" s="21"/>
      <c r="P7" s="29"/>
    </row>
    <row r="8" spans="1:20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290</v>
      </c>
      <c r="J8" s="38"/>
      <c r="M8" s="21"/>
      <c r="N8" s="21"/>
      <c r="P8" s="29"/>
      <c r="Q8" s="44"/>
    </row>
    <row r="9" spans="1:20" x14ac:dyDescent="0.25">
      <c r="A9" s="35" t="s">
        <v>14</v>
      </c>
      <c r="B9" s="36">
        <f>C9/12</f>
        <v>292.73226703755205</v>
      </c>
      <c r="C9" s="36">
        <f>((11377*(148/143.8))/4)*1.2</f>
        <v>3512.7872044506248</v>
      </c>
      <c r="D9" s="40">
        <f>C9/C20</f>
        <v>0.13868245795000986</v>
      </c>
      <c r="E9" s="40">
        <f>C9/B50</f>
        <v>0.11761748077929648</v>
      </c>
      <c r="F9" s="41"/>
      <c r="G9" s="38"/>
      <c r="H9" s="42" t="s">
        <v>64</v>
      </c>
      <c r="I9" s="43">
        <f ca="1">I7+I8</f>
        <v>30156.2</v>
      </c>
      <c r="J9" s="27"/>
      <c r="M9" s="21"/>
      <c r="N9" s="21"/>
      <c r="P9" s="29"/>
      <c r="Q9" s="44"/>
      <c r="T9" s="29"/>
    </row>
    <row r="10" spans="1:20" x14ac:dyDescent="0.25">
      <c r="A10" s="35" t="s">
        <v>15</v>
      </c>
      <c r="B10" s="36">
        <f>C10/12</f>
        <v>86.812299465240656</v>
      </c>
      <c r="C10" s="36">
        <f>((2042*(95.4/93.5))/2)*SQRT(1)</f>
        <v>1041.7475935828879</v>
      </c>
      <c r="D10" s="40">
        <f>C10/C20</f>
        <v>4.1127488923479283E-2</v>
      </c>
      <c r="E10" s="40">
        <f>C10/B50</f>
        <v>3.4880486757032626E-2</v>
      </c>
      <c r="F10" s="41"/>
      <c r="H10" s="45"/>
      <c r="I10" s="45"/>
      <c r="J10" s="38"/>
      <c r="M10" s="21"/>
      <c r="N10" s="21"/>
      <c r="P10" s="29"/>
      <c r="Q10" s="44"/>
      <c r="T10" s="29"/>
    </row>
    <row r="11" spans="1:20" x14ac:dyDescent="0.25">
      <c r="A11" s="35" t="s">
        <v>16</v>
      </c>
      <c r="B11" s="36">
        <f>C11/12</f>
        <v>1029.7967885288965</v>
      </c>
      <c r="C11" s="36">
        <f>(947*12)+(487.63*(158.1/114.2))+(26.54*12)</f>
        <v>12357.561462346759</v>
      </c>
      <c r="D11" s="40">
        <f>C11/C20</f>
        <v>0.4878681508789513</v>
      </c>
      <c r="E11" s="40">
        <f>C11/B50</f>
        <v>0.4137641033123316</v>
      </c>
      <c r="G11" s="38"/>
      <c r="H11" s="25" t="s">
        <v>67</v>
      </c>
      <c r="I11" s="46">
        <f ca="1">B55+B56</f>
        <v>2992.7367708800002</v>
      </c>
      <c r="J11" s="27"/>
      <c r="M11" s="21"/>
      <c r="N11" s="21"/>
      <c r="P11" s="29"/>
      <c r="Q11" s="44"/>
      <c r="T11" s="29"/>
    </row>
    <row r="12" spans="1:20" x14ac:dyDescent="0.25">
      <c r="A12" s="35" t="s">
        <v>17</v>
      </c>
      <c r="B12" s="36">
        <f>C12/12</f>
        <v>102.05</v>
      </c>
      <c r="C12" s="36">
        <f>(12*102.05)</f>
        <v>1224.5999999999999</v>
      </c>
      <c r="D12" s="40">
        <f>C12/C20</f>
        <v>4.8346377995914611E-2</v>
      </c>
      <c r="E12" s="40">
        <f>C12/B50</f>
        <v>4.1002872812744839E-2</v>
      </c>
      <c r="F12" s="41"/>
      <c r="H12" s="46" t="s">
        <v>68</v>
      </c>
      <c r="I12" s="46">
        <f ca="1">C33</f>
        <v>290</v>
      </c>
      <c r="J12" s="29"/>
      <c r="M12" s="21"/>
      <c r="N12" s="21"/>
      <c r="P12" s="29"/>
      <c r="Q12" s="44"/>
      <c r="T12" s="29"/>
    </row>
    <row r="13" spans="1:20" x14ac:dyDescent="0.25">
      <c r="A13" s="35" t="s">
        <v>18</v>
      </c>
      <c r="B13" s="36">
        <f>C13/12</f>
        <v>286.17660314310575</v>
      </c>
      <c r="C13" s="36">
        <f>0.754*(C9+C10)</f>
        <v>3434.1192377172688</v>
      </c>
      <c r="D13" s="40">
        <f>C13/C20</f>
        <v>0.13557669994261082</v>
      </c>
      <c r="E13" s="40">
        <f>C13/B50</f>
        <v>0.11498346752239216</v>
      </c>
      <c r="H13" s="43" t="s">
        <v>70</v>
      </c>
      <c r="I13" s="43">
        <f ca="1">I11-I12</f>
        <v>2702.7367708800002</v>
      </c>
      <c r="J13" s="38"/>
      <c r="K13" s="38"/>
      <c r="P13" s="29"/>
      <c r="Q13" s="44"/>
      <c r="T13" s="29"/>
    </row>
    <row r="14" spans="1:20" s="49" customFormat="1" x14ac:dyDescent="0.25">
      <c r="A14" s="37" t="s">
        <v>19</v>
      </c>
      <c r="B14" s="47">
        <f>SUM(B9:B13)</f>
        <v>1797.5679581747947</v>
      </c>
      <c r="C14" s="47">
        <f>SUM(C9:C13)</f>
        <v>21570.815498097541</v>
      </c>
      <c r="D14" s="48">
        <f>C14/C20</f>
        <v>0.85160117569096594</v>
      </c>
      <c r="E14" s="48">
        <f>C14/B50</f>
        <v>0.72224841118379779</v>
      </c>
      <c r="G14" s="43"/>
      <c r="H14" s="46" t="s">
        <v>71</v>
      </c>
      <c r="I14" s="46">
        <f>B53+B54</f>
        <v>1828.5086399999998</v>
      </c>
      <c r="J14" s="43"/>
      <c r="K14" s="43"/>
      <c r="M14" s="45"/>
      <c r="N14" s="45"/>
      <c r="O14" s="50"/>
      <c r="P14" s="29"/>
      <c r="Q14" s="44"/>
      <c r="R14" s="21"/>
      <c r="S14" s="21"/>
      <c r="T14" s="29"/>
    </row>
    <row r="15" spans="1:20" x14ac:dyDescent="0.25">
      <c r="A15" s="35" t="s">
        <v>20</v>
      </c>
      <c r="B15" s="36">
        <f>C15/12</f>
        <v>0</v>
      </c>
      <c r="C15" s="36">
        <f>M11</f>
        <v>0</v>
      </c>
      <c r="D15" s="40">
        <f>C15/C20</f>
        <v>0</v>
      </c>
      <c r="E15" s="40">
        <f>C15/B50</f>
        <v>0</v>
      </c>
      <c r="G15" s="38"/>
      <c r="H15" s="49" t="s">
        <v>72</v>
      </c>
      <c r="I15" s="43">
        <f ca="1">I13+I14</f>
        <v>4531.2454108800002</v>
      </c>
      <c r="J15" s="38"/>
      <c r="K15" s="38"/>
      <c r="P15" s="29"/>
      <c r="Q15" s="44"/>
      <c r="R15" s="49"/>
      <c r="T15" s="29"/>
    </row>
    <row r="16" spans="1:20" x14ac:dyDescent="0.25">
      <c r="A16" s="3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P16" s="29"/>
      <c r="Q16" s="44"/>
      <c r="T16" s="29"/>
    </row>
    <row r="17" spans="1:20" x14ac:dyDescent="0.25">
      <c r="A17" s="35" t="s">
        <v>22</v>
      </c>
      <c r="B17" s="36">
        <f>C17/12</f>
        <v>68.25</v>
      </c>
      <c r="C17" s="36">
        <f>(68.25)*12</f>
        <v>819</v>
      </c>
      <c r="D17" s="40">
        <f>C17/C20</f>
        <v>3.2333564901726335E-2</v>
      </c>
      <c r="E17" s="40">
        <f>C17/B50</f>
        <v>2.7422303473491772E-2</v>
      </c>
      <c r="G17" s="38"/>
      <c r="H17" s="38"/>
      <c r="I17" s="38"/>
      <c r="J17" s="38"/>
      <c r="K17" s="38"/>
      <c r="P17" s="29"/>
      <c r="Q17" s="44"/>
      <c r="T17" s="29"/>
    </row>
    <row r="18" spans="1:20" x14ac:dyDescent="0.25">
      <c r="A18" s="35" t="s">
        <v>23</v>
      </c>
      <c r="B18" s="36">
        <f>C18/12</f>
        <v>149.26666666666668</v>
      </c>
      <c r="C18" s="36">
        <v>1791.2</v>
      </c>
      <c r="D18" s="40">
        <f>C18/C20</f>
        <v>7.0715361968220036E-2</v>
      </c>
      <c r="E18" s="40">
        <f>C18/B50</f>
        <v>5.9974151381829627E-2</v>
      </c>
      <c r="G18" s="38"/>
      <c r="H18" s="38"/>
      <c r="I18" s="38"/>
      <c r="J18" s="38"/>
      <c r="K18" s="38"/>
      <c r="P18" s="29"/>
      <c r="Q18" s="44"/>
      <c r="T18" s="29"/>
    </row>
    <row r="19" spans="1:20" x14ac:dyDescent="0.25">
      <c r="A19" s="35" t="s">
        <v>24</v>
      </c>
      <c r="B19" s="36">
        <f>C19/12</f>
        <v>95.725000000000009</v>
      </c>
      <c r="C19" s="36">
        <f>B47*B48*2</f>
        <v>1148.7</v>
      </c>
      <c r="D19" s="40">
        <f>C19/C20</f>
        <v>4.5349897439087961E-2</v>
      </c>
      <c r="E19" s="40">
        <f>C19/B50</f>
        <v>3.8461538461538464E-2</v>
      </c>
      <c r="G19" s="38"/>
      <c r="H19" s="38"/>
      <c r="I19" s="38"/>
      <c r="J19" s="38"/>
      <c r="K19" s="38"/>
      <c r="P19" s="29"/>
      <c r="Q19" s="44"/>
      <c r="T19" s="29"/>
    </row>
    <row r="20" spans="1:20" x14ac:dyDescent="0.25">
      <c r="A20" s="35" t="s">
        <v>25</v>
      </c>
      <c r="B20" s="36">
        <f>SUM(B9:B19)-B14</f>
        <v>2110.8096248414613</v>
      </c>
      <c r="C20" s="36">
        <f>SUM(C9:C19)-C14</f>
        <v>25329.715498097536</v>
      </c>
      <c r="D20" s="40">
        <f>C20/C20</f>
        <v>1</v>
      </c>
      <c r="E20" s="40">
        <f>SUM(E9:E18)-E14</f>
        <v>0.80964486603911923</v>
      </c>
      <c r="G20" s="38"/>
      <c r="H20" s="38"/>
      <c r="I20" s="29"/>
      <c r="J20" s="38"/>
      <c r="K20" s="38"/>
      <c r="P20" s="29"/>
      <c r="Q20" s="44"/>
      <c r="T20" s="29"/>
    </row>
    <row r="21" spans="1:20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P21" s="29"/>
      <c r="Q21" s="44"/>
      <c r="T21" s="29"/>
    </row>
    <row r="22" spans="1:20" x14ac:dyDescent="0.25">
      <c r="B22" s="38"/>
      <c r="C22" s="38"/>
      <c r="P22" s="29"/>
      <c r="Q22" s="44"/>
      <c r="T22" s="29"/>
    </row>
    <row r="23" spans="1:20" ht="15.6" x14ac:dyDescent="0.3">
      <c r="B23" s="26" t="s">
        <v>73</v>
      </c>
      <c r="P23" s="29"/>
      <c r="Q23" s="44"/>
      <c r="T23" s="29"/>
    </row>
    <row r="24" spans="1:20" ht="12.75" customHeight="1" x14ac:dyDescent="0.3">
      <c r="C24" s="26"/>
      <c r="P24" s="29"/>
      <c r="Q24" s="44"/>
      <c r="T24" s="29"/>
    </row>
    <row r="25" spans="1:20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P25" s="29"/>
      <c r="Q25" s="44"/>
    </row>
    <row r="26" spans="1:20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P26" s="29"/>
      <c r="Q26" s="44"/>
    </row>
    <row r="27" spans="1:20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P27" s="29"/>
      <c r="Q27" s="44"/>
    </row>
    <row r="28" spans="1:20" x14ac:dyDescent="0.25">
      <c r="A28" s="35" t="s">
        <v>27</v>
      </c>
      <c r="B28" s="57">
        <f>C28/12</f>
        <v>0</v>
      </c>
      <c r="C28" s="36">
        <f>MAX(0,E28)</f>
        <v>0</v>
      </c>
      <c r="D28" s="65"/>
      <c r="E28" s="58"/>
      <c r="F28" s="59"/>
      <c r="G28" s="59"/>
      <c r="H28" s="60"/>
      <c r="K28" s="25"/>
      <c r="P28" s="29"/>
      <c r="Q28" s="44"/>
    </row>
    <row r="29" spans="1:20" x14ac:dyDescent="0.25">
      <c r="A29" s="35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P29" s="29"/>
      <c r="Q29" s="44"/>
    </row>
    <row r="30" spans="1:20" x14ac:dyDescent="0.25">
      <c r="A30" s="35" t="s">
        <v>28</v>
      </c>
      <c r="B30" s="36">
        <f ca="1">(C30)/12</f>
        <v>24.166666666666668</v>
      </c>
      <c r="C30" s="36">
        <f ca="1">G30</f>
        <v>290</v>
      </c>
      <c r="D30" s="25"/>
      <c r="E30" s="46">
        <f>290</f>
        <v>290</v>
      </c>
      <c r="F30" s="25">
        <f ca="1">IF((B52-37789)*0.05&gt;0,(B52-37789)*0.05,0)</f>
        <v>0</v>
      </c>
      <c r="G30" s="46">
        <f ca="1">IF(E30&gt;F30,E30-F30,0)</f>
        <v>290</v>
      </c>
      <c r="H30" s="38"/>
      <c r="I30" s="38"/>
      <c r="K30" s="25"/>
      <c r="P30" s="29"/>
    </row>
    <row r="31" spans="1:20" x14ac:dyDescent="0.25">
      <c r="A31" s="35" t="s">
        <v>29</v>
      </c>
      <c r="B31" s="36">
        <f ca="1">C31/12</f>
        <v>0</v>
      </c>
      <c r="C31" s="36">
        <f ca="1">IF(C15&gt;F34,C15-F34,0)</f>
        <v>0</v>
      </c>
      <c r="D31" s="46"/>
      <c r="E31" s="21" t="s">
        <v>119</v>
      </c>
      <c r="H31" s="38"/>
      <c r="J31" s="38"/>
      <c r="K31" s="25"/>
    </row>
    <row r="32" spans="1:20" x14ac:dyDescent="0.25">
      <c r="A32" s="35" t="s">
        <v>82</v>
      </c>
      <c r="B32" s="36">
        <f ca="1">E32</f>
        <v>0</v>
      </c>
      <c r="C32" s="36">
        <f ca="1">E32*12</f>
        <v>0</v>
      </c>
      <c r="D32" s="46"/>
      <c r="E32" s="46">
        <f ca="1">IF(B52&lt;23040,(0.75*768-B52*0.3/12),0)</f>
        <v>0</v>
      </c>
      <c r="H32" s="38"/>
      <c r="J32" s="38"/>
      <c r="K32" s="25"/>
    </row>
    <row r="33" spans="1:16" x14ac:dyDescent="0.25">
      <c r="A33" s="35" t="s">
        <v>25</v>
      </c>
      <c r="B33" s="36">
        <f ca="1">SUM(B26:B32)</f>
        <v>24.166666666666668</v>
      </c>
      <c r="C33" s="36">
        <f ca="1">SUM(C26:C32)</f>
        <v>290</v>
      </c>
      <c r="E33" s="52" t="s">
        <v>83</v>
      </c>
      <c r="F33" s="52" t="s">
        <v>84</v>
      </c>
      <c r="G33" s="52"/>
      <c r="H33" s="38"/>
      <c r="I33" s="38"/>
      <c r="M33" s="27"/>
      <c r="N33" s="27"/>
      <c r="O33" s="28"/>
      <c r="P33" s="61"/>
    </row>
    <row r="34" spans="1:16" x14ac:dyDescent="0.25">
      <c r="B34" s="38"/>
      <c r="C34" s="38"/>
      <c r="E34" s="21">
        <f>10982</f>
        <v>10982</v>
      </c>
      <c r="F34" s="38">
        <f ca="1">IF(IF((B52-E34+5356)&lt;0,(B52-E34)*0.25,(B52-E34+5356)*0.5+1339)&gt;0,IF((B52-E34+5356)&lt;0,(B52-E34)*0.25,(B52-E34+5356)*0.5+1339),O8+M9)</f>
        <v>13459.1</v>
      </c>
      <c r="H34" s="38"/>
      <c r="I34" s="38"/>
    </row>
    <row r="35" spans="1:16" x14ac:dyDescent="0.25">
      <c r="B35" s="38"/>
      <c r="C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6" x14ac:dyDescent="0.25">
      <c r="A39" s="35" t="s">
        <v>31</v>
      </c>
      <c r="B39" s="36"/>
      <c r="C39" s="36">
        <f ca="1">C33+B57</f>
        <v>25334.954589120003</v>
      </c>
      <c r="E39" s="52"/>
      <c r="F39" s="52"/>
      <c r="G39" s="52"/>
      <c r="H39" s="53"/>
      <c r="I39" s="53"/>
    </row>
    <row r="40" spans="1:16" x14ac:dyDescent="0.25">
      <c r="A40" s="35" t="s">
        <v>120</v>
      </c>
      <c r="B40" s="36"/>
      <c r="C40" s="36">
        <f>C20</f>
        <v>25329.715498097536</v>
      </c>
      <c r="E40" s="52"/>
      <c r="F40" s="52"/>
      <c r="G40" s="52"/>
      <c r="H40" s="70"/>
      <c r="I40" s="53"/>
    </row>
    <row r="41" spans="1:16" x14ac:dyDescent="0.25">
      <c r="A41" s="35" t="s">
        <v>33</v>
      </c>
      <c r="B41" s="36"/>
      <c r="C41" s="36">
        <f ca="1">C39-C40</f>
        <v>5.239091022467619</v>
      </c>
      <c r="E41" s="38"/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A44" s="63" t="s">
        <v>121</v>
      </c>
    </row>
    <row r="45" spans="1:16" x14ac:dyDescent="0.25">
      <c r="B45" s="27"/>
    </row>
    <row r="46" spans="1:16" s="45" customFormat="1" x14ac:dyDescent="0.25">
      <c r="A46" s="31"/>
      <c r="B46" s="71" t="s">
        <v>128</v>
      </c>
      <c r="C46" s="27"/>
      <c r="D46" s="27"/>
    </row>
    <row r="47" spans="1:16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6" x14ac:dyDescent="0.25">
      <c r="A48" s="35" t="s">
        <v>36</v>
      </c>
      <c r="B48" s="72">
        <v>16.41</v>
      </c>
      <c r="E48" s="45"/>
      <c r="F48" s="45"/>
      <c r="G48" s="45"/>
      <c r="H48" s="45"/>
      <c r="I48" s="45"/>
    </row>
    <row r="49" spans="1:17" ht="3.75" customHeight="1" x14ac:dyDescent="0.25">
      <c r="A49" s="30"/>
      <c r="B49" s="30">
        <v>40</v>
      </c>
      <c r="E49" s="45"/>
      <c r="F49" s="45"/>
      <c r="G49" s="45"/>
      <c r="H49" s="45"/>
      <c r="I49" s="45"/>
    </row>
    <row r="50" spans="1:17" x14ac:dyDescent="0.25">
      <c r="A50" s="35" t="s">
        <v>122</v>
      </c>
      <c r="B50" s="36">
        <f>B48*B47*52</f>
        <v>29866.2</v>
      </c>
      <c r="E50" s="45"/>
      <c r="F50" s="52" t="s">
        <v>88</v>
      </c>
      <c r="I50" s="38"/>
      <c r="K50" s="52" t="s">
        <v>88</v>
      </c>
      <c r="M50" s="21"/>
      <c r="N50" s="21"/>
    </row>
    <row r="51" spans="1:17" x14ac:dyDescent="0.25">
      <c r="A51" s="35" t="s">
        <v>38</v>
      </c>
      <c r="B51" s="36">
        <f ca="1">-C15+C31</f>
        <v>0</v>
      </c>
      <c r="E51" s="45"/>
      <c r="F51" s="52" t="s">
        <v>129</v>
      </c>
      <c r="G51" s="52" t="s">
        <v>90</v>
      </c>
      <c r="H51" s="52" t="s">
        <v>91</v>
      </c>
      <c r="I51" s="52" t="s">
        <v>92</v>
      </c>
      <c r="K51" s="52" t="s">
        <v>129</v>
      </c>
      <c r="L51" s="52" t="s">
        <v>130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</row>
    <row r="52" spans="1:17" x14ac:dyDescent="0.25">
      <c r="A52" s="35" t="s">
        <v>39</v>
      </c>
      <c r="B52" s="36">
        <f ca="1">B50+B51</f>
        <v>29866.2</v>
      </c>
      <c r="E52" s="45"/>
      <c r="F52" s="64">
        <v>1</v>
      </c>
      <c r="G52" s="46">
        <f ca="1">B52*0.15</f>
        <v>4479.93</v>
      </c>
      <c r="H52" s="46">
        <f ca="1">(L52+B53+B54+M52+N52)*0.15</f>
        <v>2267.9262960000001</v>
      </c>
      <c r="I52" s="46">
        <f ca="1">IF(O52&gt;0, O52,0)+P52+Q52</f>
        <v>243</v>
      </c>
      <c r="K52" s="21">
        <v>1</v>
      </c>
      <c r="L52" s="38">
        <f>12069</f>
        <v>12069</v>
      </c>
      <c r="M52" s="38">
        <v>1222</v>
      </c>
      <c r="N52" s="45">
        <f ca="1">IF(C17-B52*0.03&gt;0,C17-B52*0.03,0)</f>
        <v>0</v>
      </c>
      <c r="O52" s="21">
        <f>IF((B50-3000)*0.26&lt;1355,(B50-3000)*0.26,1355)-IF(B50-12820&gt;0,B50-12820,0)*0.12</f>
        <v>-690.5440000000001</v>
      </c>
      <c r="P52" s="21">
        <f ca="1">IF((0.25*N52 - 0.05*(B52-27044))&gt;0,(0.25*N52 - 0.05*(B52-27044)),0)</f>
        <v>0</v>
      </c>
      <c r="Q52" s="21">
        <f>243</f>
        <v>243</v>
      </c>
    </row>
    <row r="53" spans="1:17" x14ac:dyDescent="0.25">
      <c r="A53" s="35" t="s">
        <v>40</v>
      </c>
      <c r="B53" s="36">
        <f>B50*0.0162</f>
        <v>483.83243999999996</v>
      </c>
      <c r="E53" s="45"/>
      <c r="F53" s="64"/>
      <c r="G53" s="46"/>
      <c r="H53" s="46"/>
      <c r="I53" s="38"/>
    </row>
    <row r="54" spans="1:17" x14ac:dyDescent="0.25">
      <c r="A54" s="35" t="s">
        <v>41</v>
      </c>
      <c r="B54" s="36">
        <f>IF(((B50-3500)*0.051)&lt;2748.9,(B50-3500)*0.051,2748.9)</f>
        <v>1344.6761999999999</v>
      </c>
      <c r="C54" s="45"/>
      <c r="E54" s="45"/>
    </row>
    <row r="55" spans="1:17" x14ac:dyDescent="0.25">
      <c r="A55" s="35" t="s">
        <v>42</v>
      </c>
      <c r="B55" s="36">
        <f ca="1">IF(G52-H52&lt;0,0,G52-H52)-I52</f>
        <v>1969.0037040000002</v>
      </c>
      <c r="C55" s="45"/>
      <c r="E55" s="45"/>
      <c r="F55" s="52" t="s">
        <v>99</v>
      </c>
      <c r="I55" s="38"/>
      <c r="K55" s="52" t="s">
        <v>99</v>
      </c>
      <c r="M55" s="21"/>
      <c r="N55" s="21"/>
    </row>
    <row r="56" spans="1:17" x14ac:dyDescent="0.25">
      <c r="A56" s="35" t="s">
        <v>43</v>
      </c>
      <c r="B56" s="36">
        <f ca="1">IF(G57-H57&lt;0,0,G57-H57)-I57</f>
        <v>1023.7330668799998</v>
      </c>
      <c r="C56" s="38"/>
      <c r="E56" s="46"/>
      <c r="F56" s="52" t="s">
        <v>129</v>
      </c>
      <c r="G56" s="52" t="s">
        <v>90</v>
      </c>
      <c r="H56" s="52" t="s">
        <v>91</v>
      </c>
      <c r="I56" s="52" t="s">
        <v>100</v>
      </c>
      <c r="K56" s="52" t="s">
        <v>129</v>
      </c>
      <c r="L56" s="52" t="s">
        <v>123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7" x14ac:dyDescent="0.25">
      <c r="A57" s="35" t="s">
        <v>44</v>
      </c>
      <c r="B57" s="36">
        <f ca="1">B50-SUM(B53:B56)</f>
        <v>25044.954589120003</v>
      </c>
      <c r="E57" s="38"/>
      <c r="F57" s="64">
        <v>1</v>
      </c>
      <c r="G57" s="46">
        <f ca="1">IF(B52&lt;33389,B52*0.108,(B52-33389)*0.1275+(33389*0.108))</f>
        <v>3225.5495999999998</v>
      </c>
      <c r="H57" s="46">
        <f ca="1">(L57+B53+B54+M57+N57+O57)*0.108</f>
        <v>1501.81653312</v>
      </c>
      <c r="I57" s="46">
        <f ca="1">P57+Q57</f>
        <v>700</v>
      </c>
      <c r="K57" s="21">
        <v>1</v>
      </c>
      <c r="L57" s="21">
        <f>9626</f>
        <v>9626</v>
      </c>
      <c r="M57" s="73">
        <f>1491.2+120*8</f>
        <v>2451.1999999999998</v>
      </c>
      <c r="O57" s="21">
        <f ca="1">IF(C17-B52*0.03&gt;0,C17-B52*0.03,0)</f>
        <v>0</v>
      </c>
      <c r="P57" s="21">
        <f ca="1">IF(195-(B52*0.01)&gt;0,195-(B52*0.01),0)</f>
        <v>0</v>
      </c>
      <c r="Q57" s="21">
        <f ca="1">700-(IF(C32&gt;700,700,C32))</f>
        <v>700</v>
      </c>
    </row>
    <row r="58" spans="1:17" x14ac:dyDescent="0.25">
      <c r="A58" s="35" t="s">
        <v>45</v>
      </c>
      <c r="B58" s="36">
        <f ca="1">B57/12</f>
        <v>2087.0795490933338</v>
      </c>
      <c r="F58" s="64"/>
      <c r="G58" s="46"/>
      <c r="H58" s="46"/>
      <c r="I58" s="46"/>
    </row>
    <row r="59" spans="1:17" x14ac:dyDescent="0.25">
      <c r="B59" s="38"/>
      <c r="C59" s="38"/>
      <c r="D59" s="38"/>
    </row>
    <row r="60" spans="1:17" x14ac:dyDescent="0.25">
      <c r="B60" s="38"/>
      <c r="C60" s="38"/>
      <c r="D60" s="38"/>
    </row>
    <row r="61" spans="1:17" s="28" customFormat="1" x14ac:dyDescent="0.25">
      <c r="B61" s="28" t="s">
        <v>124</v>
      </c>
      <c r="M61" s="27"/>
      <c r="N61" s="27"/>
    </row>
    <row r="63" spans="1:17" x14ac:dyDescent="0.25">
      <c r="A63" s="21" t="s">
        <v>106</v>
      </c>
      <c r="D63" s="38">
        <f>B50</f>
        <v>29866.2</v>
      </c>
    </row>
    <row r="64" spans="1:17" x14ac:dyDescent="0.25">
      <c r="A64" s="21" t="s">
        <v>107</v>
      </c>
      <c r="D64" s="38">
        <f ca="1">SUM(B53:B56)</f>
        <v>4821.2454108799993</v>
      </c>
    </row>
    <row r="65" spans="1:9" x14ac:dyDescent="0.25">
      <c r="A65" s="21" t="s">
        <v>108</v>
      </c>
      <c r="D65" s="38">
        <f ca="1">D63-D64</f>
        <v>25044.954589120003</v>
      </c>
    </row>
    <row r="66" spans="1:9" x14ac:dyDescent="0.25">
      <c r="A66" s="21" t="s">
        <v>109</v>
      </c>
      <c r="D66" s="38">
        <f ca="1">C33</f>
        <v>290</v>
      </c>
    </row>
    <row r="67" spans="1:9" x14ac:dyDescent="0.25">
      <c r="A67" s="21" t="s">
        <v>110</v>
      </c>
      <c r="D67" s="38">
        <f ca="1">D65+D66</f>
        <v>25334.954589120003</v>
      </c>
    </row>
    <row r="68" spans="1:9" x14ac:dyDescent="0.25">
      <c r="A68" s="21" t="s">
        <v>111</v>
      </c>
      <c r="D68" s="38">
        <f>C20</f>
        <v>25329.715498097536</v>
      </c>
    </row>
    <row r="69" spans="1:9" x14ac:dyDescent="0.25">
      <c r="A69" s="21" t="s">
        <v>112</v>
      </c>
      <c r="D69" s="38">
        <f ca="1">D67-D68</f>
        <v>5.239091022467619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rintOptions gridLines="1"/>
  <pageMargins left="0.75" right="0.5" top="0.5" bottom="0.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B113"/>
  <sheetViews>
    <sheetView zoomScale="80" zoomScaleNormal="80" workbookViewId="0">
      <selection activeCell="C12" sqref="C12"/>
    </sheetView>
  </sheetViews>
  <sheetFormatPr defaultColWidth="8.5546875" defaultRowHeight="13.2" x14ac:dyDescent="0.25"/>
  <cols>
    <col min="1" max="1" width="22.5546875" style="21" customWidth="1"/>
    <col min="2" max="2" width="8.5546875" style="21"/>
    <col min="3" max="3" width="11.44140625" style="21" customWidth="1"/>
    <col min="4" max="4" width="8.5546875" style="21"/>
    <col min="5" max="5" width="10.5546875" style="21" customWidth="1"/>
    <col min="6" max="6" width="12.44140625" style="21" customWidth="1"/>
    <col min="7" max="7" width="12.21875" style="21" customWidth="1"/>
    <col min="8" max="8" width="14" style="21" customWidth="1"/>
    <col min="9" max="9" width="8.44140625" style="21" customWidth="1"/>
    <col min="10" max="10" width="8.5546875" style="21"/>
    <col min="11" max="11" width="8.44140625" style="21" customWidth="1"/>
    <col min="12" max="12" width="28.109375" style="21" customWidth="1"/>
    <col min="13" max="13" width="13.44140625" style="21" customWidth="1"/>
    <col min="14" max="14" width="12.5546875" style="21" customWidth="1"/>
    <col min="15" max="15" width="10.44140625" style="21" customWidth="1"/>
    <col min="16" max="16" width="8.5546875" style="21"/>
    <col min="17" max="17" width="8" style="21" customWidth="1"/>
    <col min="18" max="18" width="7.44140625" style="21" customWidth="1"/>
    <col min="19" max="16384" width="8.5546875" style="21"/>
  </cols>
  <sheetData>
    <row r="1" spans="1:19" ht="17.399999999999999" x14ac:dyDescent="0.3">
      <c r="A1" s="20" t="s">
        <v>131</v>
      </c>
      <c r="B1" s="20"/>
    </row>
    <row r="2" spans="1:19" s="22" customFormat="1" ht="15" customHeight="1" x14ac:dyDescent="0.3">
      <c r="B2" s="22" t="s">
        <v>47</v>
      </c>
      <c r="D2" s="23"/>
      <c r="E2" s="24"/>
    </row>
    <row r="3" spans="1:19" ht="15.6" x14ac:dyDescent="0.3">
      <c r="A3" s="25" t="s">
        <v>48</v>
      </c>
      <c r="C3" s="22"/>
      <c r="D3" s="23"/>
      <c r="E3" s="24"/>
      <c r="F3" s="22"/>
      <c r="G3" s="22"/>
      <c r="H3" s="22"/>
      <c r="I3" s="22"/>
      <c r="J3" s="22"/>
    </row>
    <row r="4" spans="1:19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19" ht="15.6" x14ac:dyDescent="0.3">
      <c r="B5" s="26" t="s">
        <v>49</v>
      </c>
    </row>
    <row r="6" spans="1:19" ht="12.75" customHeight="1" x14ac:dyDescent="0.3">
      <c r="C6" s="26"/>
      <c r="J6" s="27"/>
      <c r="L6" s="27"/>
      <c r="M6" s="28"/>
      <c r="N6" s="28"/>
      <c r="O6" s="28"/>
      <c r="P6" s="28"/>
      <c r="Q6" s="28"/>
      <c r="S6" s="29"/>
    </row>
    <row r="7" spans="1:19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D50</f>
        <v>57002.400000000001</v>
      </c>
      <c r="J7" s="27"/>
      <c r="L7" s="21" t="s">
        <v>54</v>
      </c>
      <c r="M7" s="21" t="s">
        <v>132</v>
      </c>
      <c r="S7" s="29"/>
    </row>
    <row r="8" spans="1:19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10642.265999999998</v>
      </c>
      <c r="J8" s="38"/>
      <c r="K8" s="38"/>
      <c r="L8" s="21" t="s">
        <v>63</v>
      </c>
      <c r="M8" s="21">
        <v>20.8</v>
      </c>
      <c r="N8" s="21">
        <f>243*20.8</f>
        <v>5054.4000000000005</v>
      </c>
      <c r="P8" s="29"/>
      <c r="S8" s="29"/>
    </row>
    <row r="9" spans="1:19" x14ac:dyDescent="0.25">
      <c r="A9" s="206" t="s">
        <v>14</v>
      </c>
      <c r="B9" s="36">
        <f>C9/12</f>
        <v>897.83831411530809</v>
      </c>
      <c r="C9" s="36">
        <f>0.912*11606*153.6/150.9</f>
        <v>10774.059769383697</v>
      </c>
      <c r="D9" s="40">
        <f>C9/C20</f>
        <v>0.17376767103888588</v>
      </c>
      <c r="E9" s="40">
        <f>C9/D50</f>
        <v>0.18901063410283947</v>
      </c>
      <c r="F9" s="41"/>
      <c r="G9" s="38"/>
      <c r="H9" s="42" t="s">
        <v>64</v>
      </c>
      <c r="I9" s="43">
        <f ca="1">I7+I8</f>
        <v>67644.665999999997</v>
      </c>
      <c r="J9" s="27"/>
      <c r="K9" s="38"/>
      <c r="L9" s="21" t="s">
        <v>133</v>
      </c>
      <c r="M9" s="21">
        <v>8.6</v>
      </c>
      <c r="N9" s="21">
        <f>182*8.6</f>
        <v>1565.2</v>
      </c>
      <c r="P9" s="29"/>
      <c r="Q9" s="44"/>
      <c r="S9" s="29"/>
    </row>
    <row r="10" spans="1:19" x14ac:dyDescent="0.25">
      <c r="A10" s="206" t="s">
        <v>15</v>
      </c>
      <c r="B10" s="36">
        <f>C10/12</f>
        <v>170.53065953654189</v>
      </c>
      <c r="C10" s="36">
        <f>2042*(93.7/93.5)</f>
        <v>2046.3679144385028</v>
      </c>
      <c r="D10" s="40">
        <f>C10/C20</f>
        <v>3.300451215159924E-2</v>
      </c>
      <c r="E10" s="40">
        <f>C10/D50</f>
        <v>3.5899679915907097E-2</v>
      </c>
      <c r="F10" s="41"/>
      <c r="H10" s="45"/>
      <c r="I10" s="45"/>
      <c r="J10" s="38"/>
      <c r="K10" s="38"/>
      <c r="L10" s="21" t="s">
        <v>162</v>
      </c>
      <c r="M10" s="21">
        <v>20.8</v>
      </c>
      <c r="N10" s="21">
        <f>48*20.8</f>
        <v>998.40000000000009</v>
      </c>
      <c r="P10" s="29"/>
      <c r="Q10" s="44"/>
      <c r="S10" s="29"/>
    </row>
    <row r="11" spans="1:19" x14ac:dyDescent="0.25">
      <c r="A11" s="206" t="s">
        <v>16</v>
      </c>
      <c r="B11" s="36">
        <f>C11/12</f>
        <v>1423.1426897256276</v>
      </c>
      <c r="C11" s="38">
        <f>(1340*12)+(487.63*(163.4/114.2))+(25*12)</f>
        <v>17077.712276707531</v>
      </c>
      <c r="D11" s="40">
        <f>C11/C20</f>
        <v>0.2754351054769959</v>
      </c>
      <c r="E11" s="40">
        <f>C11/D50</f>
        <v>0.2995963727265436</v>
      </c>
      <c r="F11" s="21" t="s">
        <v>134</v>
      </c>
      <c r="G11" s="38">
        <f>(B11-966.55)/966.5</f>
        <v>0.47241871673629349</v>
      </c>
      <c r="H11" s="25" t="s">
        <v>67</v>
      </c>
      <c r="I11" s="46">
        <f ca="1">B55+C55+B56+C56</f>
        <v>2008.1514782400006</v>
      </c>
      <c r="J11" s="27"/>
      <c r="K11" s="38"/>
      <c r="N11" s="21">
        <f>SUM(N8:N10)</f>
        <v>7618</v>
      </c>
      <c r="P11" s="29"/>
      <c r="Q11" s="44"/>
      <c r="S11" s="29"/>
    </row>
    <row r="12" spans="1:19" x14ac:dyDescent="0.25">
      <c r="A12" s="206" t="s">
        <v>17</v>
      </c>
      <c r="B12" s="36">
        <f>C12/12</f>
        <v>544.5605562855892</v>
      </c>
      <c r="C12" s="36">
        <f>(12*(86+16))+(4817*167.8/152.2)</f>
        <v>6534.7266754270704</v>
      </c>
      <c r="D12" s="40">
        <f>C12/C20</f>
        <v>0.10539427658378382</v>
      </c>
      <c r="E12" s="40">
        <f>C11/D50</f>
        <v>0.2995963727265436</v>
      </c>
      <c r="F12" s="41"/>
      <c r="H12" s="46" t="s">
        <v>68</v>
      </c>
      <c r="I12" s="46">
        <f ca="1">C33</f>
        <v>10642.265999999998</v>
      </c>
      <c r="J12" s="29"/>
      <c r="K12" s="38"/>
      <c r="L12" s="21" t="s">
        <v>69</v>
      </c>
      <c r="N12" s="21">
        <f>11*3.5*26</f>
        <v>1001</v>
      </c>
      <c r="P12" s="29"/>
      <c r="Q12" s="44"/>
      <c r="S12" s="29"/>
    </row>
    <row r="13" spans="1:19" x14ac:dyDescent="0.25">
      <c r="A13" s="206" t="s">
        <v>18</v>
      </c>
      <c r="B13" s="36">
        <f>C13/12</f>
        <v>955.96121212121216</v>
      </c>
      <c r="C13" s="36">
        <f>11108*(142/137.5)</f>
        <v>11471.534545454546</v>
      </c>
      <c r="D13" s="40">
        <f>C13/C20</f>
        <v>0.18501677954955201</v>
      </c>
      <c r="E13" s="40">
        <f>C13/D50</f>
        <v>0.20124651848789779</v>
      </c>
      <c r="G13" s="38"/>
      <c r="H13" s="43" t="s">
        <v>70</v>
      </c>
      <c r="I13" s="43">
        <f ca="1">I11-I12</f>
        <v>-8634.1145217599969</v>
      </c>
      <c r="J13" s="38"/>
      <c r="K13" s="38"/>
      <c r="L13" s="45"/>
      <c r="P13" s="29"/>
      <c r="Q13" s="44"/>
      <c r="S13" s="29"/>
    </row>
    <row r="14" spans="1:19" s="49" customFormat="1" x14ac:dyDescent="0.25">
      <c r="A14" s="37" t="s">
        <v>19</v>
      </c>
      <c r="B14" s="47">
        <f>SUM(B9:B13)</f>
        <v>3992.0334317842789</v>
      </c>
      <c r="C14" s="47">
        <f>SUM(C9:C13)</f>
        <v>47904.401181411347</v>
      </c>
      <c r="D14" s="48">
        <f>C14/C20</f>
        <v>0.77261834480081693</v>
      </c>
      <c r="E14" s="48">
        <f>C14/D50</f>
        <v>0.84039270594591364</v>
      </c>
      <c r="G14" s="43"/>
      <c r="H14" s="46" t="s">
        <v>71</v>
      </c>
      <c r="I14" s="46">
        <f>B53+C53+B54+C54</f>
        <v>3625.76872</v>
      </c>
      <c r="J14" s="43"/>
      <c r="K14" s="43"/>
      <c r="L14" s="45"/>
      <c r="M14" s="21"/>
      <c r="N14" s="21"/>
      <c r="O14" s="21"/>
      <c r="P14" s="29"/>
      <c r="Q14" s="44"/>
      <c r="R14" s="21"/>
      <c r="S14" s="29"/>
    </row>
    <row r="15" spans="1:19" x14ac:dyDescent="0.25">
      <c r="A15" s="206" t="s">
        <v>20</v>
      </c>
      <c r="B15" s="36">
        <f>C15/12</f>
        <v>634.83333333333337</v>
      </c>
      <c r="C15" s="36">
        <f>N11</f>
        <v>7618</v>
      </c>
      <c r="D15" s="40">
        <f>C15/C20</f>
        <v>0.12286567424991694</v>
      </c>
      <c r="E15" s="40">
        <f>C15/D50</f>
        <v>0.13364349571246123</v>
      </c>
      <c r="G15" s="38"/>
      <c r="H15" s="49" t="s">
        <v>72</v>
      </c>
      <c r="I15" s="43">
        <f ca="1">I13+I14</f>
        <v>-5008.3458017599969</v>
      </c>
      <c r="J15" s="38"/>
      <c r="K15" s="38"/>
      <c r="L15" s="45"/>
      <c r="M15" s="50"/>
      <c r="N15" s="50"/>
      <c r="P15" s="29"/>
      <c r="Q15" s="44"/>
      <c r="S15" s="29"/>
    </row>
    <row r="16" spans="1:19" x14ac:dyDescent="0.25">
      <c r="A16" s="206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C16/D50</f>
        <v>0</v>
      </c>
      <c r="H16" s="38"/>
      <c r="I16" s="38"/>
      <c r="J16" s="38"/>
      <c r="K16" s="38"/>
      <c r="L16" s="45"/>
      <c r="P16" s="29"/>
      <c r="Q16" s="44"/>
      <c r="S16" s="29"/>
    </row>
    <row r="17" spans="1:28" x14ac:dyDescent="0.25">
      <c r="A17" s="206" t="s">
        <v>22</v>
      </c>
      <c r="B17" s="36">
        <f>C17/12</f>
        <v>198.29999999999998</v>
      </c>
      <c r="C17" s="36">
        <f>(75.15+61.35+41.35+20.45)*12</f>
        <v>2379.6</v>
      </c>
      <c r="D17" s="40">
        <f>C17/C20</f>
        <v>3.8378991657272557E-2</v>
      </c>
      <c r="E17" s="40">
        <f>C17/D50</f>
        <v>4.1745610711127951E-2</v>
      </c>
      <c r="G17" s="43"/>
      <c r="I17" s="38"/>
      <c r="J17" s="38"/>
      <c r="K17" s="38"/>
      <c r="L17" s="45"/>
      <c r="P17" s="29"/>
      <c r="Q17" s="44"/>
      <c r="S17" s="29"/>
    </row>
    <row r="18" spans="1:28" x14ac:dyDescent="0.25">
      <c r="A18" s="206" t="s">
        <v>23</v>
      </c>
      <c r="B18" s="36">
        <f>C18/12</f>
        <v>159.02250000000001</v>
      </c>
      <c r="C18" s="36">
        <v>1908.27</v>
      </c>
      <c r="D18" s="40">
        <f>C18/C20</f>
        <v>3.0777222394445917E-2</v>
      </c>
      <c r="E18" s="40">
        <f>C18/D50</f>
        <v>3.3477011494252876E-2</v>
      </c>
      <c r="F18" s="52"/>
      <c r="G18" s="53"/>
      <c r="H18" s="53"/>
      <c r="I18" s="53"/>
      <c r="J18" s="53"/>
      <c r="K18" s="53"/>
      <c r="L18" s="45"/>
      <c r="P18" s="29"/>
      <c r="Q18" s="44"/>
      <c r="S18" s="29"/>
    </row>
    <row r="19" spans="1:28" x14ac:dyDescent="0.25">
      <c r="A19" s="35" t="s">
        <v>24</v>
      </c>
      <c r="B19" s="36">
        <f>C19/12</f>
        <v>182.70000000000002</v>
      </c>
      <c r="C19" s="36">
        <f>B47*B48*2*2</f>
        <v>2192.4</v>
      </c>
      <c r="D19" s="40">
        <f>C19/C20</f>
        <v>3.5359766897547641E-2</v>
      </c>
      <c r="E19" s="40">
        <f>C19/D50</f>
        <v>3.8461538461538464E-2</v>
      </c>
      <c r="F19" s="52">
        <f>(B19-156.45)/156.45</f>
        <v>0.16778523489932906</v>
      </c>
      <c r="G19" s="53"/>
      <c r="H19" s="53"/>
      <c r="I19" s="53"/>
      <c r="J19" s="53"/>
      <c r="K19" s="53"/>
      <c r="L19" s="45"/>
      <c r="P19" s="29"/>
      <c r="Q19" s="44"/>
      <c r="S19" s="29"/>
    </row>
    <row r="20" spans="1:28" x14ac:dyDescent="0.25">
      <c r="A20" s="35" t="s">
        <v>25</v>
      </c>
      <c r="B20" s="36">
        <f>SUM(B9:B19)-B14</f>
        <v>5166.889265117612</v>
      </c>
      <c r="C20" s="36">
        <f>SUM(C9:C19)-C14</f>
        <v>62002.671181411351</v>
      </c>
      <c r="D20" s="40">
        <f>C20/C20</f>
        <v>1</v>
      </c>
      <c r="E20" s="40">
        <f>SUM(E9:E18)-E14</f>
        <v>1.2342156958775736</v>
      </c>
      <c r="F20" s="46"/>
      <c r="G20" s="46">
        <f>(B20-3893.38)/3893.38</f>
        <v>0.32709606180686496</v>
      </c>
      <c r="H20" s="46"/>
      <c r="I20" s="46"/>
      <c r="J20" s="46"/>
      <c r="K20" s="54"/>
      <c r="L20" s="45"/>
      <c r="P20" s="29"/>
      <c r="Q20" s="44"/>
      <c r="S20" s="29"/>
    </row>
    <row r="21" spans="1:28" x14ac:dyDescent="0.25">
      <c r="B21" s="38"/>
      <c r="C21" s="38"/>
      <c r="D21" s="38"/>
      <c r="E21" s="38"/>
      <c r="F21" s="38"/>
      <c r="G21" s="38"/>
      <c r="H21" s="29"/>
      <c r="I21" s="38"/>
      <c r="J21" s="46"/>
      <c r="K21" s="38"/>
      <c r="L21" s="45"/>
      <c r="P21" s="29"/>
      <c r="Q21" s="44"/>
      <c r="S21" s="29"/>
    </row>
    <row r="22" spans="1:28" x14ac:dyDescent="0.25">
      <c r="B22" s="38"/>
      <c r="C22" s="38"/>
      <c r="L22" s="45"/>
      <c r="P22" s="29"/>
      <c r="Q22" s="44"/>
      <c r="S22" s="29"/>
    </row>
    <row r="23" spans="1:28" ht="15.6" x14ac:dyDescent="0.3">
      <c r="B23" s="26" t="s">
        <v>73</v>
      </c>
      <c r="L23" s="45"/>
      <c r="P23" s="29"/>
      <c r="Q23" s="44"/>
    </row>
    <row r="24" spans="1:28" ht="12.75" customHeight="1" x14ac:dyDescent="0.3">
      <c r="C24" s="26"/>
      <c r="L24" s="45"/>
      <c r="P24" s="29"/>
      <c r="Q24" s="44"/>
    </row>
    <row r="25" spans="1:28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27"/>
      <c r="J25" s="52"/>
      <c r="L25" s="45"/>
      <c r="P25" s="29"/>
      <c r="Q25" s="44"/>
    </row>
    <row r="26" spans="1:28" x14ac:dyDescent="0.25">
      <c r="A26" s="35"/>
      <c r="B26" s="57"/>
      <c r="C26" s="57"/>
      <c r="E26" s="58"/>
      <c r="F26" s="59"/>
      <c r="G26" s="59"/>
      <c r="H26" s="59"/>
      <c r="I26" s="46"/>
      <c r="J26" s="46"/>
      <c r="K26" s="25"/>
      <c r="L26" s="45"/>
      <c r="P26" s="29"/>
      <c r="Q26" s="44"/>
    </row>
    <row r="27" spans="1:28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L27" s="45"/>
      <c r="P27" s="29"/>
      <c r="Q27" s="44"/>
    </row>
    <row r="28" spans="1:28" ht="17.100000000000001" customHeight="1" x14ac:dyDescent="0.25">
      <c r="A28" s="209" t="s">
        <v>27</v>
      </c>
      <c r="B28" s="57">
        <f ca="1">C28/12</f>
        <v>854.57383333333325</v>
      </c>
      <c r="C28" s="57">
        <f ca="1">MAX(0,E28)</f>
        <v>10254.885999999999</v>
      </c>
      <c r="D28" s="33"/>
      <c r="E28" s="58">
        <f ca="1">IF((D52)&lt;F28,(5765+6833),IF((D52)&lt;G28,(5765+6833-(D52-F28)*0.135),(5765+6833-(G28-F28)*0.135-(D52-G28)*0.057-5044)))</f>
        <v>10254.885999999999</v>
      </c>
      <c r="F28" s="59">
        <v>32028</v>
      </c>
      <c r="G28" s="59">
        <v>69395</v>
      </c>
      <c r="H28" s="59">
        <v>67427</v>
      </c>
      <c r="K28" s="132"/>
      <c r="L28" s="57"/>
      <c r="M28" s="57"/>
      <c r="N28" s="57"/>
      <c r="P28" s="45"/>
      <c r="Q28" s="38"/>
      <c r="R28" s="38"/>
      <c r="S28" s="38"/>
      <c r="T28" s="29"/>
      <c r="U28" s="44"/>
      <c r="W28" s="45"/>
      <c r="AA28" s="29"/>
      <c r="AB28" s="44"/>
    </row>
    <row r="29" spans="1:28" x14ac:dyDescent="0.25">
      <c r="A29" s="206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L29" s="45"/>
      <c r="P29" s="29"/>
      <c r="Q29" s="44"/>
    </row>
    <row r="30" spans="1:28" x14ac:dyDescent="0.25">
      <c r="A30" s="206" t="s">
        <v>28</v>
      </c>
      <c r="B30" s="36">
        <f ca="1">C30/12</f>
        <v>32.281666666666659</v>
      </c>
      <c r="C30" s="36">
        <f ca="1">G30</f>
        <v>387.37999999999988</v>
      </c>
      <c r="E30" s="46">
        <f>299+299+157+157</f>
        <v>912</v>
      </c>
      <c r="F30" s="25">
        <f ca="1">IF((D52-38892)*0.05&gt;0,(D52-C27-38892)*0.05,0)</f>
        <v>524.62000000000012</v>
      </c>
      <c r="G30" s="46">
        <f ca="1">IF(E30&gt;F30,E30-F30,0)</f>
        <v>387.37999999999988</v>
      </c>
      <c r="H30" s="38"/>
      <c r="I30" s="38"/>
      <c r="K30" s="25"/>
      <c r="L30" s="45"/>
      <c r="P30" s="29"/>
      <c r="Q30" s="44"/>
    </row>
    <row r="31" spans="1:28" x14ac:dyDescent="0.25">
      <c r="A31" s="206" t="s">
        <v>29</v>
      </c>
      <c r="B31" s="36">
        <f ca="1">C31/12</f>
        <v>0</v>
      </c>
      <c r="C31" s="36">
        <f ca="1">IF(C15&gt;F34,C15-F34,0)</f>
        <v>0</v>
      </c>
      <c r="D31" s="46"/>
      <c r="E31" s="46" t="s">
        <v>74</v>
      </c>
      <c r="F31" s="46"/>
      <c r="H31" s="38"/>
      <c r="J31" s="38"/>
      <c r="K31" s="25"/>
      <c r="L31" s="45"/>
      <c r="P31" s="29"/>
    </row>
    <row r="32" spans="1:28" ht="15.6" customHeight="1" x14ac:dyDescent="0.25">
      <c r="A32" s="206" t="s">
        <v>82</v>
      </c>
      <c r="B32" s="36">
        <f ca="1">E32</f>
        <v>0</v>
      </c>
      <c r="C32" s="36">
        <f ca="1">E32*12</f>
        <v>0</v>
      </c>
      <c r="D32" s="46"/>
      <c r="E32" s="46">
        <f ca="1">IF(D52&lt;39680,(0.8*1292-D52*0.3/12),0)</f>
        <v>0</v>
      </c>
      <c r="F32" s="46"/>
      <c r="H32" s="38"/>
      <c r="J32" s="38"/>
      <c r="K32" s="25"/>
      <c r="L32" s="45"/>
      <c r="P32" s="29"/>
    </row>
    <row r="33" spans="1:16" x14ac:dyDescent="0.25">
      <c r="A33" s="35" t="s">
        <v>25</v>
      </c>
      <c r="B33" s="36">
        <f ca="1">SUM(B26:B31)</f>
        <v>886.85549999999989</v>
      </c>
      <c r="C33" s="36">
        <f ca="1">SUM(C26:C31)</f>
        <v>10642.265999999998</v>
      </c>
      <c r="E33" s="52" t="s">
        <v>83</v>
      </c>
      <c r="F33" s="52" t="s">
        <v>84</v>
      </c>
      <c r="G33" s="52"/>
      <c r="H33" s="38"/>
      <c r="I33" s="38"/>
      <c r="L33" s="45"/>
    </row>
    <row r="34" spans="1:16" x14ac:dyDescent="0.25">
      <c r="B34" s="38"/>
      <c r="C34" s="38"/>
      <c r="E34" s="46">
        <f>15924+7885+4411*2</f>
        <v>32631</v>
      </c>
      <c r="F34" s="46">
        <f ca="1">IF(IF((D52-E34+7766*2)&lt;0,(D52-E34)*0.25,(D52-E34+7766*2)*0.5+1942*2)&gt;0,IF((D52-E34+7766*2)&lt;0,(D52-E34)*0.25,(D52-E34+7766*2)*0.5+1942*2),0)</f>
        <v>20026.7</v>
      </c>
      <c r="H34" s="38"/>
      <c r="I34" s="38"/>
      <c r="L34" s="27"/>
      <c r="M34" s="28"/>
      <c r="N34" s="28"/>
      <c r="O34" s="28"/>
      <c r="P34" s="61"/>
    </row>
    <row r="35" spans="1:16" x14ac:dyDescent="0.25">
      <c r="B35" s="38"/>
      <c r="C35" s="38"/>
      <c r="P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27"/>
      <c r="F38" s="27"/>
      <c r="G38" s="27"/>
      <c r="H38" s="27"/>
      <c r="I38" s="27"/>
    </row>
    <row r="39" spans="1:16" x14ac:dyDescent="0.25">
      <c r="A39" s="35" t="s">
        <v>31</v>
      </c>
      <c r="B39" s="36"/>
      <c r="C39" s="36">
        <f ca="1">C33+D57</f>
        <v>62010.745801759993</v>
      </c>
      <c r="H39" s="38"/>
      <c r="I39" s="38"/>
    </row>
    <row r="40" spans="1:16" x14ac:dyDescent="0.25">
      <c r="A40" s="35" t="s">
        <v>32</v>
      </c>
      <c r="B40" s="36"/>
      <c r="C40" s="36">
        <f>C20</f>
        <v>62002.671181411351</v>
      </c>
      <c r="H40" s="38"/>
      <c r="I40" s="38"/>
    </row>
    <row r="41" spans="1:16" x14ac:dyDescent="0.25">
      <c r="A41" s="35" t="s">
        <v>33</v>
      </c>
      <c r="B41" s="36"/>
      <c r="C41" s="36">
        <f ca="1">C39-C40</f>
        <v>8.0746203486414743</v>
      </c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B44" s="63" t="s">
        <v>86</v>
      </c>
    </row>
    <row r="45" spans="1:16" x14ac:dyDescent="0.25">
      <c r="B45" s="27"/>
    </row>
    <row r="46" spans="1:16" s="45" customFormat="1" x14ac:dyDescent="0.25">
      <c r="A46" s="31"/>
      <c r="B46" s="31" t="s">
        <v>34</v>
      </c>
      <c r="C46" s="31" t="s">
        <v>87</v>
      </c>
      <c r="D46" s="31" t="s">
        <v>25</v>
      </c>
      <c r="F46" s="21"/>
      <c r="G46" s="21"/>
      <c r="H46" s="21"/>
      <c r="I46" s="133"/>
    </row>
    <row r="47" spans="1:16" x14ac:dyDescent="0.25">
      <c r="A47" s="35" t="s">
        <v>35</v>
      </c>
      <c r="B47" s="35">
        <v>35</v>
      </c>
      <c r="C47" s="134">
        <v>35</v>
      </c>
      <c r="D47" s="35">
        <f>B47+C47</f>
        <v>70</v>
      </c>
      <c r="I47" s="38"/>
    </row>
    <row r="48" spans="1:16" x14ac:dyDescent="0.25">
      <c r="A48" s="35" t="s">
        <v>36</v>
      </c>
      <c r="B48" s="72">
        <v>15.66</v>
      </c>
      <c r="C48" s="135">
        <f>B48</f>
        <v>15.66</v>
      </c>
      <c r="D48" s="35"/>
      <c r="I48" s="38"/>
    </row>
    <row r="49" spans="1:18" ht="1.5" customHeight="1" x14ac:dyDescent="0.25">
      <c r="A49" s="30"/>
      <c r="B49" s="30">
        <v>12.91</v>
      </c>
      <c r="C49" s="31"/>
      <c r="D49" s="30"/>
      <c r="I49" s="61"/>
    </row>
    <row r="50" spans="1:18" x14ac:dyDescent="0.25">
      <c r="A50" s="35" t="s">
        <v>37</v>
      </c>
      <c r="B50" s="36">
        <f>B48*B47*52</f>
        <v>28501.200000000001</v>
      </c>
      <c r="C50" s="36">
        <f>C48*C47*52</f>
        <v>28501.200000000001</v>
      </c>
      <c r="D50" s="36">
        <f>B50+C50</f>
        <v>57002.400000000001</v>
      </c>
      <c r="F50" s="52" t="s">
        <v>88</v>
      </c>
      <c r="I50" s="38"/>
      <c r="K50" s="21" t="s">
        <v>88</v>
      </c>
    </row>
    <row r="51" spans="1:18" x14ac:dyDescent="0.25">
      <c r="A51" s="35" t="s">
        <v>38</v>
      </c>
      <c r="B51" s="36">
        <f ca="1">C27-C15+C31</f>
        <v>-7618</v>
      </c>
      <c r="C51" s="36"/>
      <c r="D51" s="36">
        <f ca="1">B51+C51</f>
        <v>-7618</v>
      </c>
      <c r="F51" s="52" t="s">
        <v>89</v>
      </c>
      <c r="G51" s="52" t="s">
        <v>90</v>
      </c>
      <c r="H51" s="52" t="s">
        <v>91</v>
      </c>
      <c r="I51" s="52" t="s">
        <v>92</v>
      </c>
      <c r="K51" s="52" t="s">
        <v>89</v>
      </c>
      <c r="L51" s="52" t="s">
        <v>93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  <c r="R51" s="49" t="s">
        <v>163</v>
      </c>
    </row>
    <row r="52" spans="1:18" x14ac:dyDescent="0.25">
      <c r="A52" s="35" t="s">
        <v>39</v>
      </c>
      <c r="B52" s="36">
        <f ca="1">B50+B51</f>
        <v>20883.2</v>
      </c>
      <c r="C52" s="36">
        <f>C50+C51</f>
        <v>28501.200000000001</v>
      </c>
      <c r="D52" s="36">
        <f t="shared" ref="D52:D58" ca="1" si="0">B52+C52</f>
        <v>49384.4</v>
      </c>
      <c r="F52" s="64">
        <v>1</v>
      </c>
      <c r="G52" s="46">
        <f ca="1">B52*0.15</f>
        <v>3132.48</v>
      </c>
      <c r="H52" s="46">
        <f ca="1">(L52+B53+B54+M52+N52)*0.15</f>
        <v>2794.6482539999997</v>
      </c>
      <c r="I52" s="46">
        <f ca="1">IF(O52&gt;0, O52,0)+P52+Q52</f>
        <v>792</v>
      </c>
      <c r="K52" s="21">
        <v>1</v>
      </c>
      <c r="L52" s="38">
        <v>13808</v>
      </c>
      <c r="M52" s="38">
        <v>1257</v>
      </c>
      <c r="N52" s="21">
        <f ca="1">IF(C17-B52*0.03&gt;0,C17-B52*0.03,0)</f>
        <v>1753.1039999999998</v>
      </c>
      <c r="O52" s="21">
        <f>MAX(IF((D50-3000)*0.27&lt;2403,(D50-3000)*0.27,2403)-IF(D50-26177&gt;0,D50-26177,0)*0.15,0)</f>
        <v>0</v>
      </c>
      <c r="P52" s="21">
        <f ca="1">IF((0.25*N52 - 0.05*(D52-28446))&gt;0,(0.25*N52 - 0.05*(D52-28446)),0)</f>
        <v>0</v>
      </c>
      <c r="Q52" s="21">
        <f>360+180+90+90+(360+180+90+90)*0.1</f>
        <v>792</v>
      </c>
    </row>
    <row r="53" spans="1:18" x14ac:dyDescent="0.25">
      <c r="A53" s="206" t="s">
        <v>40</v>
      </c>
      <c r="B53" s="36">
        <f>IF(B50*0.0158&lt;889.54,B50*0.0158,889.54)</f>
        <v>450.31896000000006</v>
      </c>
      <c r="C53" s="36">
        <f>IF(C50*0.0158&lt;889.54,C50*0.0158,889.54)</f>
        <v>450.31896000000006</v>
      </c>
      <c r="D53" s="36">
        <f t="shared" si="0"/>
        <v>900.63792000000012</v>
      </c>
      <c r="F53" s="64">
        <v>2</v>
      </c>
      <c r="G53" s="46">
        <f>C52*0.15</f>
        <v>4275.18</v>
      </c>
      <c r="H53" s="46">
        <f>(L53+C53+C54+M53+C18+R53)*0.15</f>
        <v>3059.163654</v>
      </c>
      <c r="I53" s="38"/>
      <c r="K53" s="21">
        <v>2</v>
      </c>
      <c r="L53" s="38">
        <v>13808</v>
      </c>
      <c r="M53" s="38">
        <v>1257</v>
      </c>
      <c r="R53" s="21">
        <v>1608.27</v>
      </c>
    </row>
    <row r="54" spans="1:18" x14ac:dyDescent="0.25">
      <c r="A54" s="206" t="s">
        <v>41</v>
      </c>
      <c r="B54" s="36">
        <f>IF(((B50-3500)*0.0545)&lt;3166.45,(B50-3500)*0.0545,3166.45)</f>
        <v>1362.5654</v>
      </c>
      <c r="C54" s="36">
        <f>IF(((C50-3500)*0.0545)&lt;3166.45,(C50-3500)*0.0545,3166.45)</f>
        <v>1362.5654</v>
      </c>
      <c r="D54" s="36">
        <f t="shared" si="0"/>
        <v>2725.1307999999999</v>
      </c>
    </row>
    <row r="55" spans="1:18" x14ac:dyDescent="0.25">
      <c r="A55" s="206" t="s">
        <v>42</v>
      </c>
      <c r="B55" s="36">
        <f ca="1">IF(G52-H52&lt;0,0,G52-H52)-I52</f>
        <v>-454.16825399999971</v>
      </c>
      <c r="C55" s="36">
        <f>IF(G53-H53&lt;0,0,G53-H53)</f>
        <v>1216.0163460000003</v>
      </c>
      <c r="D55" s="36">
        <f t="shared" ca="1" si="0"/>
        <v>761.84809200000063</v>
      </c>
      <c r="E55" s="49"/>
      <c r="F55" s="52" t="s">
        <v>99</v>
      </c>
      <c r="I55" s="38"/>
      <c r="K55" s="52" t="s">
        <v>99</v>
      </c>
    </row>
    <row r="56" spans="1:18" x14ac:dyDescent="0.25">
      <c r="A56" s="206" t="s">
        <v>43</v>
      </c>
      <c r="B56" s="36">
        <f ca="1">IF(G57-H57&lt;0,0,G57-H57)-I57</f>
        <v>779.84679312000003</v>
      </c>
      <c r="C56" s="36">
        <f ca="1">IF(G58-H58&lt;0,0,G58-H58)-I58</f>
        <v>466.45659311999998</v>
      </c>
      <c r="D56" s="36">
        <f t="shared" ca="1" si="0"/>
        <v>1246.30338624</v>
      </c>
      <c r="E56" s="46"/>
      <c r="F56" s="52" t="s">
        <v>89</v>
      </c>
      <c r="G56" s="52" t="s">
        <v>90</v>
      </c>
      <c r="H56" s="52" t="s">
        <v>91</v>
      </c>
      <c r="I56" s="52" t="s">
        <v>100</v>
      </c>
      <c r="K56" s="52" t="s">
        <v>89</v>
      </c>
      <c r="L56" s="52" t="s">
        <v>93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8" x14ac:dyDescent="0.25">
      <c r="A57" s="35" t="s">
        <v>44</v>
      </c>
      <c r="B57" s="36">
        <f ca="1">B50-SUM(B53:B56)</f>
        <v>26362.637100880002</v>
      </c>
      <c r="C57" s="36">
        <f ca="1">C50-SUM(C53:C56)</f>
        <v>25005.842700879999</v>
      </c>
      <c r="D57" s="36">
        <f t="shared" ca="1" si="0"/>
        <v>51368.479801759997</v>
      </c>
      <c r="E57" s="38"/>
      <c r="F57" s="64">
        <v>1</v>
      </c>
      <c r="G57" s="46">
        <f ca="1">IF(B52&lt;33723,B52*0.108,(B52-33723)*0.1275+(33723*0.108))</f>
        <v>2255.3856000000001</v>
      </c>
      <c r="H57" s="46">
        <f ca="1">(L57+B53+B54+N57+O57)*0.108</f>
        <v>1475.53880688</v>
      </c>
      <c r="I57" s="46">
        <v>0</v>
      </c>
      <c r="K57" s="21">
        <v>1</v>
      </c>
      <c r="L57" s="21">
        <v>9936</v>
      </c>
      <c r="N57" s="21">
        <f ca="1">IF(2065-B52*0.09&gt;0,2065-B52*0.09,0)</f>
        <v>185.51199999999994</v>
      </c>
      <c r="O57" s="21">
        <f ca="1">MIN(IF(C17-B52*0.03&gt;0,C17-B52*0.03,0),1728)</f>
        <v>1728</v>
      </c>
    </row>
    <row r="58" spans="1:18" x14ac:dyDescent="0.25">
      <c r="A58" s="35" t="s">
        <v>45</v>
      </c>
      <c r="B58" s="36">
        <f ca="1">B57/12</f>
        <v>2196.8864250733336</v>
      </c>
      <c r="C58" s="36">
        <f ca="1">C57/12</f>
        <v>2083.8202250733334</v>
      </c>
      <c r="D58" s="36">
        <f t="shared" ca="1" si="0"/>
        <v>4280.706650146667</v>
      </c>
      <c r="F58" s="64">
        <v>2</v>
      </c>
      <c r="G58" s="46">
        <f>IF(C52&lt;33723,C52*0.108,(C52-33723)*0.1275+(33723*0.108))</f>
        <v>3078.1296000000002</v>
      </c>
      <c r="H58" s="46">
        <f>(L58+C53+C54+M58+N58)*0.108</f>
        <v>2086.6730068800002</v>
      </c>
      <c r="I58" s="46">
        <f ca="1">P58+Q58</f>
        <v>525</v>
      </c>
      <c r="K58" s="21">
        <v>2</v>
      </c>
      <c r="L58" s="21">
        <v>9936</v>
      </c>
      <c r="M58" s="38">
        <f>1608.27+120*8</f>
        <v>2568.27</v>
      </c>
      <c r="N58" s="21">
        <f>IF(2065+2752*2-C52*0.09&gt;0,2065+2752*2-C52*0.09,0)</f>
        <v>5003.8919999999998</v>
      </c>
      <c r="P58" s="21">
        <f ca="1">IF(195+195+26+26-(D52*0.01)&gt;0,195+195+26+26-(D52*0.01),0)</f>
        <v>0</v>
      </c>
      <c r="Q58" s="21">
        <f ca="1">525-(IF(C32&gt;525,525,C32))</f>
        <v>525</v>
      </c>
    </row>
    <row r="59" spans="1:18" x14ac:dyDescent="0.25">
      <c r="B59" s="38"/>
      <c r="C59" s="38"/>
      <c r="D59" s="38"/>
    </row>
    <row r="60" spans="1:18" x14ac:dyDescent="0.25">
      <c r="B60" s="38"/>
      <c r="C60" s="38"/>
      <c r="D60" s="38"/>
    </row>
    <row r="61" spans="1:18" s="28" customFormat="1" ht="15.6" x14ac:dyDescent="0.3">
      <c r="B61" s="26" t="s">
        <v>105</v>
      </c>
    </row>
    <row r="63" spans="1:18" x14ac:dyDescent="0.25">
      <c r="A63" s="21" t="s">
        <v>106</v>
      </c>
      <c r="D63" s="38">
        <f>D50</f>
        <v>57002.400000000001</v>
      </c>
    </row>
    <row r="64" spans="1:18" x14ac:dyDescent="0.25">
      <c r="A64" s="21" t="s">
        <v>107</v>
      </c>
      <c r="D64" s="38">
        <f ca="1">SUM(B53:B56)+SUM(C53:C56)</f>
        <v>5633.9201982400009</v>
      </c>
    </row>
    <row r="65" spans="1:9" x14ac:dyDescent="0.25">
      <c r="A65" s="21" t="s">
        <v>108</v>
      </c>
      <c r="D65" s="38">
        <f ca="1">D63-D64</f>
        <v>51368.479801759997</v>
      </c>
    </row>
    <row r="66" spans="1:9" x14ac:dyDescent="0.25">
      <c r="A66" s="21" t="s">
        <v>109</v>
      </c>
      <c r="D66" s="38">
        <f ca="1">C33</f>
        <v>10642.265999999998</v>
      </c>
    </row>
    <row r="67" spans="1:9" x14ac:dyDescent="0.25">
      <c r="A67" s="21" t="s">
        <v>110</v>
      </c>
      <c r="D67" s="38">
        <f ca="1">D65+D66</f>
        <v>62010.745801759993</v>
      </c>
    </row>
    <row r="68" spans="1:9" x14ac:dyDescent="0.25">
      <c r="A68" s="21" t="s">
        <v>111</v>
      </c>
      <c r="D68" s="38">
        <f>C20</f>
        <v>62002.671181411351</v>
      </c>
    </row>
    <row r="69" spans="1:9" x14ac:dyDescent="0.25">
      <c r="A69" s="21" t="s">
        <v>112</v>
      </c>
      <c r="D69" s="38">
        <f ca="1">D67-D68</f>
        <v>8.0746203486414743</v>
      </c>
    </row>
    <row r="71" spans="1:9" ht="12.75" customHeight="1" x14ac:dyDescent="0.3"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13"/>
  <sheetViews>
    <sheetView workbookViewId="0">
      <selection activeCell="C11" sqref="C11"/>
    </sheetView>
  </sheetViews>
  <sheetFormatPr defaultColWidth="8.5546875" defaultRowHeight="13.2" x14ac:dyDescent="0.25"/>
  <cols>
    <col min="1" max="1" width="22.5546875" style="21" customWidth="1"/>
    <col min="2" max="2" width="8.5546875" style="21"/>
    <col min="3" max="3" width="11.44140625" style="21" customWidth="1"/>
    <col min="4" max="4" width="8.5546875" style="21"/>
    <col min="5" max="5" width="10.5546875" style="21" customWidth="1"/>
    <col min="6" max="6" width="12.44140625" style="21" customWidth="1"/>
    <col min="7" max="7" width="12.21875" style="21" customWidth="1"/>
    <col min="8" max="8" width="14" style="21" customWidth="1"/>
    <col min="9" max="9" width="8.44140625" style="21" customWidth="1"/>
    <col min="10" max="10" width="8.5546875" style="21"/>
    <col min="11" max="11" width="8.44140625" style="21" customWidth="1"/>
    <col min="12" max="12" width="20.44140625" style="21" customWidth="1"/>
    <col min="13" max="13" width="13.44140625" style="21" customWidth="1"/>
    <col min="14" max="14" width="12.5546875" style="21" customWidth="1"/>
    <col min="15" max="15" width="10.44140625" style="21" customWidth="1"/>
    <col min="16" max="16" width="8.5546875" style="21"/>
    <col min="17" max="17" width="8" style="21" customWidth="1"/>
    <col min="18" max="18" width="7.44140625" style="21" customWidth="1"/>
    <col min="19" max="16384" width="8.5546875" style="21"/>
  </cols>
  <sheetData>
    <row r="1" spans="1:19" ht="17.399999999999999" x14ac:dyDescent="0.3">
      <c r="A1" s="20" t="s">
        <v>135</v>
      </c>
      <c r="B1" s="20"/>
    </row>
    <row r="2" spans="1:19" s="22" customFormat="1" ht="15" customHeight="1" x14ac:dyDescent="0.3">
      <c r="B2" s="22" t="s">
        <v>47</v>
      </c>
      <c r="D2" s="23"/>
      <c r="E2" s="24"/>
    </row>
    <row r="3" spans="1:19" ht="15.6" x14ac:dyDescent="0.3">
      <c r="A3" s="25" t="s">
        <v>48</v>
      </c>
      <c r="C3" s="22"/>
      <c r="D3" s="23"/>
      <c r="E3" s="24"/>
      <c r="F3" s="22"/>
      <c r="G3" s="22"/>
      <c r="H3" s="22"/>
      <c r="I3" s="22"/>
      <c r="J3" s="22"/>
    </row>
    <row r="4" spans="1:19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19" ht="15.6" x14ac:dyDescent="0.3">
      <c r="B5" s="26" t="s">
        <v>49</v>
      </c>
    </row>
    <row r="6" spans="1:19" ht="12.75" customHeight="1" x14ac:dyDescent="0.3">
      <c r="C6" s="26"/>
      <c r="J6" s="27"/>
      <c r="L6" s="27"/>
      <c r="M6" s="28"/>
      <c r="N6" s="28"/>
      <c r="O6" s="28"/>
      <c r="P6" s="28"/>
      <c r="Q6" s="28"/>
      <c r="S6" s="29"/>
    </row>
    <row r="7" spans="1:19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D50</f>
        <v>51651.6</v>
      </c>
      <c r="J7" s="27"/>
      <c r="L7" s="21" t="s">
        <v>54</v>
      </c>
      <c r="M7" s="21" t="s">
        <v>132</v>
      </c>
      <c r="S7" s="29"/>
    </row>
    <row r="8" spans="1:19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11066.254000000001</v>
      </c>
      <c r="J8" s="38"/>
      <c r="K8" s="38"/>
      <c r="L8" s="21" t="s">
        <v>63</v>
      </c>
      <c r="M8" s="21">
        <v>20.8</v>
      </c>
      <c r="N8" s="21">
        <f>243*20.8</f>
        <v>5054.4000000000005</v>
      </c>
      <c r="P8" s="29"/>
      <c r="S8" s="29"/>
    </row>
    <row r="9" spans="1:19" x14ac:dyDescent="0.25">
      <c r="A9" s="35" t="s">
        <v>14</v>
      </c>
      <c r="B9" s="36">
        <f>C9/12</f>
        <v>859.08751043115433</v>
      </c>
      <c r="C9" s="36">
        <f>0.912*10983*148/143.8</f>
        <v>10309.050125173851</v>
      </c>
      <c r="D9" s="40">
        <f>C9/C20</f>
        <v>0.17789397843958712</v>
      </c>
      <c r="E9" s="40">
        <f>C9/D50</f>
        <v>0.19958820491860566</v>
      </c>
      <c r="F9" s="41"/>
      <c r="G9" s="38"/>
      <c r="H9" s="42" t="s">
        <v>64</v>
      </c>
      <c r="I9" s="43">
        <f ca="1">I7+I8</f>
        <v>62717.853999999999</v>
      </c>
      <c r="J9" s="27"/>
      <c r="K9" s="38"/>
      <c r="L9" s="21" t="s">
        <v>65</v>
      </c>
      <c r="M9" s="21">
        <v>8.6</v>
      </c>
      <c r="N9" s="21">
        <f>186*8.6</f>
        <v>1599.6</v>
      </c>
      <c r="P9" s="29"/>
      <c r="Q9" s="44"/>
      <c r="S9" s="29"/>
    </row>
    <row r="10" spans="1:19" x14ac:dyDescent="0.25">
      <c r="A10" s="35" t="s">
        <v>15</v>
      </c>
      <c r="B10" s="36">
        <f>C10/12</f>
        <v>173.62459893048131</v>
      </c>
      <c r="C10" s="36">
        <f>2042*(95.4/93.5)</f>
        <v>2083.4951871657759</v>
      </c>
      <c r="D10" s="40">
        <f>C10/C20</f>
        <v>3.5952996969097727E-2</v>
      </c>
      <c r="E10" s="40">
        <f>C10/D50</f>
        <v>4.0337476228534563E-2</v>
      </c>
      <c r="F10" s="41"/>
      <c r="H10" s="45"/>
      <c r="I10" s="45"/>
      <c r="J10" s="38"/>
      <c r="K10" s="38"/>
      <c r="L10" s="21" t="s">
        <v>66</v>
      </c>
      <c r="M10" s="21">
        <v>20.8</v>
      </c>
      <c r="N10" s="21">
        <f>45*20.8</f>
        <v>936</v>
      </c>
      <c r="P10" s="29"/>
      <c r="Q10" s="44"/>
      <c r="S10" s="29"/>
    </row>
    <row r="11" spans="1:19" x14ac:dyDescent="0.25">
      <c r="A11" s="35" t="s">
        <v>16</v>
      </c>
      <c r="B11" s="36">
        <f>C11/12</f>
        <v>1382.7967885288965</v>
      </c>
      <c r="C11" s="38">
        <f>(1300*12)+(487.63*(158.1/114.2))+(26.54*12)</f>
        <v>16593.561462346759</v>
      </c>
      <c r="D11" s="40">
        <f>C11/C20</f>
        <v>0.2863401214637995</v>
      </c>
      <c r="E11" s="40">
        <f>C11/D50</f>
        <v>0.32125938910598623</v>
      </c>
      <c r="F11" s="21" t="s">
        <v>134</v>
      </c>
      <c r="G11" s="38">
        <f>(B11-966.55)/966.5</f>
        <v>0.43067438026787019</v>
      </c>
      <c r="H11" s="25" t="s">
        <v>67</v>
      </c>
      <c r="I11" s="46">
        <f ca="1">B55+C55+B56+C56</f>
        <v>1643.5894638400007</v>
      </c>
      <c r="J11" s="27"/>
      <c r="K11" s="38"/>
      <c r="N11" s="21">
        <f>SUM(N8:N10)</f>
        <v>7590</v>
      </c>
      <c r="P11" s="29"/>
      <c r="Q11" s="44"/>
      <c r="S11" s="29"/>
    </row>
    <row r="12" spans="1:19" x14ac:dyDescent="0.25">
      <c r="A12" s="35" t="s">
        <v>17</v>
      </c>
      <c r="B12" s="36">
        <f>C12/12</f>
        <v>489.42024031489535</v>
      </c>
      <c r="C12" s="36">
        <f>(12*84.5)+(4850*161.2/160.9)</f>
        <v>5873.042883778744</v>
      </c>
      <c r="D12" s="40">
        <f>C12/C20</f>
        <v>0.10134580310075729</v>
      </c>
      <c r="E12" s="40">
        <f>C11/D50</f>
        <v>0.32125938910598623</v>
      </c>
      <c r="F12" s="41"/>
      <c r="H12" s="46" t="s">
        <v>68</v>
      </c>
      <c r="I12" s="46">
        <f ca="1">C33</f>
        <v>11066.254000000001</v>
      </c>
      <c r="J12" s="29"/>
      <c r="K12" s="38"/>
      <c r="L12" s="21" t="s">
        <v>69</v>
      </c>
      <c r="N12" s="21">
        <f>11*3.5*26</f>
        <v>1001</v>
      </c>
      <c r="P12" s="29"/>
      <c r="Q12" s="44"/>
      <c r="S12" s="29"/>
    </row>
    <row r="13" spans="1:19" x14ac:dyDescent="0.25">
      <c r="A13" s="35" t="s">
        <v>18</v>
      </c>
      <c r="B13" s="36">
        <f>C13/12</f>
        <v>778.66493045867321</v>
      </c>
      <c r="C13" s="36">
        <f>0.754*(C9+C10)</f>
        <v>9343.979165504079</v>
      </c>
      <c r="D13" s="40">
        <f>C13/C20</f>
        <v>0.16124061945814838</v>
      </c>
      <c r="E13" s="40">
        <f>C13/D50</f>
        <v>0.18090396358494373</v>
      </c>
      <c r="G13" s="38"/>
      <c r="H13" s="43" t="s">
        <v>70</v>
      </c>
      <c r="I13" s="43">
        <f ca="1">I11-I12</f>
        <v>-9422.6645361600004</v>
      </c>
      <c r="J13" s="38"/>
      <c r="K13" s="38"/>
      <c r="L13" s="45"/>
      <c r="P13" s="29"/>
      <c r="Q13" s="44"/>
      <c r="S13" s="29"/>
    </row>
    <row r="14" spans="1:19" s="49" customFormat="1" x14ac:dyDescent="0.25">
      <c r="A14" s="37" t="s">
        <v>19</v>
      </c>
      <c r="B14" s="47">
        <f>SUM(B9:B13)</f>
        <v>3683.5940686641006</v>
      </c>
      <c r="C14" s="47">
        <f>SUM(C9:C13)</f>
        <v>44203.128823969208</v>
      </c>
      <c r="D14" s="48">
        <f>C14/C20</f>
        <v>0.76277351943138993</v>
      </c>
      <c r="E14" s="48">
        <f>C14/D50</f>
        <v>0.85579398942083518</v>
      </c>
      <c r="G14" s="43"/>
      <c r="H14" s="46" t="s">
        <v>71</v>
      </c>
      <c r="I14" s="46">
        <f>B53+C53+B54+C54</f>
        <v>3113.9875199999997</v>
      </c>
      <c r="J14" s="43"/>
      <c r="K14" s="43"/>
      <c r="L14" s="45"/>
      <c r="M14" s="21"/>
      <c r="N14" s="21"/>
      <c r="O14" s="21"/>
      <c r="P14" s="29"/>
      <c r="Q14" s="44"/>
      <c r="R14" s="21"/>
      <c r="S14" s="29"/>
    </row>
    <row r="15" spans="1:19" x14ac:dyDescent="0.25">
      <c r="A15" s="35" t="s">
        <v>20</v>
      </c>
      <c r="B15" s="36">
        <f>C15/12</f>
        <v>632.5</v>
      </c>
      <c r="C15" s="36">
        <f>N11</f>
        <v>7590</v>
      </c>
      <c r="D15" s="40">
        <f>C15/C20</f>
        <v>0.13097378322560985</v>
      </c>
      <c r="E15" s="40">
        <f>C15/D50</f>
        <v>0.14694607717863531</v>
      </c>
      <c r="G15" s="38"/>
      <c r="H15" s="49" t="s">
        <v>72</v>
      </c>
      <c r="I15" s="43">
        <f ca="1">I13+I14</f>
        <v>-6308.6770161600007</v>
      </c>
      <c r="J15" s="38"/>
      <c r="K15" s="38"/>
      <c r="L15" s="45"/>
      <c r="M15" s="50"/>
      <c r="N15" s="50"/>
      <c r="P15" s="29"/>
      <c r="Q15" s="44"/>
      <c r="S15" s="29"/>
    </row>
    <row r="16" spans="1:19" x14ac:dyDescent="0.25">
      <c r="A16" s="3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C16/D50</f>
        <v>0</v>
      </c>
      <c r="H16" s="38"/>
      <c r="I16" s="38"/>
      <c r="J16" s="38"/>
      <c r="K16" s="38"/>
      <c r="L16" s="45"/>
      <c r="P16" s="29"/>
      <c r="Q16" s="44"/>
      <c r="S16" s="29"/>
    </row>
    <row r="17" spans="1:28" x14ac:dyDescent="0.25">
      <c r="A17" s="35" t="s">
        <v>22</v>
      </c>
      <c r="B17" s="36">
        <f>C17/12</f>
        <v>198.29999999999998</v>
      </c>
      <c r="C17" s="36">
        <f>(75.15+61.35+41.35+20.45)*12</f>
        <v>2379.6</v>
      </c>
      <c r="D17" s="40">
        <f>C17/C20</f>
        <v>4.1062610614448117E-2</v>
      </c>
      <c r="E17" s="40">
        <f>C17/D50</f>
        <v>4.6070208860906535E-2</v>
      </c>
      <c r="G17" s="43"/>
      <c r="I17" s="38"/>
      <c r="J17" s="38"/>
      <c r="K17" s="38"/>
      <c r="L17" s="45"/>
      <c r="P17" s="29"/>
      <c r="Q17" s="44"/>
      <c r="S17" s="29"/>
    </row>
    <row r="18" spans="1:28" x14ac:dyDescent="0.25">
      <c r="A18" s="35" t="s">
        <v>23</v>
      </c>
      <c r="B18" s="36">
        <f>C18/12</f>
        <v>149.26666666666668</v>
      </c>
      <c r="C18" s="36">
        <v>1791.2</v>
      </c>
      <c r="D18" s="40">
        <f>C18/C20</f>
        <v>3.090912259732706E-2</v>
      </c>
      <c r="E18" s="40">
        <f>C18/D50</f>
        <v>3.4678499794778869E-2</v>
      </c>
      <c r="F18" s="52"/>
      <c r="G18" s="53"/>
      <c r="H18" s="53"/>
      <c r="I18" s="53"/>
      <c r="J18" s="53"/>
      <c r="K18" s="53"/>
      <c r="L18" s="45"/>
      <c r="P18" s="29"/>
      <c r="Q18" s="44"/>
      <c r="S18" s="29"/>
    </row>
    <row r="19" spans="1:28" x14ac:dyDescent="0.25">
      <c r="A19" s="35" t="s">
        <v>24</v>
      </c>
      <c r="B19" s="36">
        <f>C19/12</f>
        <v>165.54999999999998</v>
      </c>
      <c r="C19" s="36">
        <f>B47*B48*2*2</f>
        <v>1986.6</v>
      </c>
      <c r="D19" s="40">
        <f>C19/C20</f>
        <v>3.4280964131224841E-2</v>
      </c>
      <c r="E19" s="40">
        <f>C19/D50</f>
        <v>3.8461538461538464E-2</v>
      </c>
      <c r="F19" s="52">
        <f>(B19-156.45)/156.45</f>
        <v>5.8165548098433974E-2</v>
      </c>
      <c r="G19" s="53"/>
      <c r="H19" s="53"/>
      <c r="I19" s="53"/>
      <c r="J19" s="53"/>
      <c r="K19" s="53"/>
      <c r="L19" s="45"/>
      <c r="P19" s="29"/>
      <c r="Q19" s="44"/>
      <c r="S19" s="29"/>
    </row>
    <row r="20" spans="1:28" x14ac:dyDescent="0.25">
      <c r="A20" s="35" t="s">
        <v>25</v>
      </c>
      <c r="B20" s="36">
        <f>SUM(B9:B19)-B14</f>
        <v>4829.2107353307656</v>
      </c>
      <c r="C20" s="36">
        <f>SUM(C9:C19)-C14</f>
        <v>57950.528823969216</v>
      </c>
      <c r="D20" s="40">
        <f>C20/C20</f>
        <v>1</v>
      </c>
      <c r="E20" s="40">
        <f>SUM(E9:E18)-E14</f>
        <v>1.291043208778377</v>
      </c>
      <c r="F20" s="46"/>
      <c r="G20" s="46">
        <f>(B20-3893.38)/3893.38</f>
        <v>0.24036460230718951</v>
      </c>
      <c r="H20" s="46"/>
      <c r="I20" s="46"/>
      <c r="J20" s="46"/>
      <c r="K20" s="54"/>
      <c r="L20" s="45"/>
      <c r="P20" s="29"/>
      <c r="Q20" s="44"/>
      <c r="S20" s="29"/>
    </row>
    <row r="21" spans="1:28" x14ac:dyDescent="0.25">
      <c r="B21" s="38"/>
      <c r="C21" s="38"/>
      <c r="D21" s="38"/>
      <c r="E21" s="38"/>
      <c r="F21" s="38"/>
      <c r="G21" s="38"/>
      <c r="H21" s="29"/>
      <c r="I21" s="38"/>
      <c r="J21" s="46"/>
      <c r="K21" s="38"/>
      <c r="L21" s="45"/>
      <c r="P21" s="29"/>
      <c r="Q21" s="44"/>
      <c r="S21" s="29"/>
    </row>
    <row r="22" spans="1:28" x14ac:dyDescent="0.25">
      <c r="B22" s="38"/>
      <c r="C22" s="38"/>
      <c r="L22" s="45"/>
      <c r="P22" s="29"/>
      <c r="Q22" s="44"/>
      <c r="S22" s="29"/>
    </row>
    <row r="23" spans="1:28" ht="15.6" x14ac:dyDescent="0.3">
      <c r="B23" s="26" t="s">
        <v>73</v>
      </c>
      <c r="L23" s="45"/>
      <c r="P23" s="29"/>
      <c r="Q23" s="44"/>
    </row>
    <row r="24" spans="1:28" ht="12.75" customHeight="1" x14ac:dyDescent="0.3">
      <c r="C24" s="26"/>
      <c r="L24" s="45"/>
      <c r="P24" s="29"/>
      <c r="Q24" s="44"/>
    </row>
    <row r="25" spans="1:28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27"/>
      <c r="J25" s="52"/>
      <c r="L25" s="45"/>
      <c r="P25" s="29"/>
      <c r="Q25" s="44"/>
    </row>
    <row r="26" spans="1:28" x14ac:dyDescent="0.25">
      <c r="A26" s="35"/>
      <c r="B26" s="57"/>
      <c r="C26" s="57"/>
      <c r="E26" s="58"/>
      <c r="F26" s="59"/>
      <c r="G26" s="59"/>
      <c r="H26" s="59"/>
      <c r="I26" s="46"/>
      <c r="J26" s="46"/>
      <c r="K26" s="25"/>
      <c r="L26" s="45"/>
      <c r="P26" s="29"/>
      <c r="Q26" s="44"/>
    </row>
    <row r="27" spans="1:28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L27" s="45"/>
      <c r="P27" s="29"/>
      <c r="Q27" s="44"/>
    </row>
    <row r="28" spans="1:28" ht="17.100000000000001" customHeight="1" x14ac:dyDescent="0.25">
      <c r="A28" s="132" t="s">
        <v>27</v>
      </c>
      <c r="B28" s="57">
        <f ca="1">C28/12</f>
        <v>874.4903333333333</v>
      </c>
      <c r="C28" s="57">
        <f ca="1">MAX(0,E28)</f>
        <v>10493.884</v>
      </c>
      <c r="D28" s="33"/>
      <c r="E28" s="58">
        <f ca="1">IF((D52)&lt;F28,(5602+6639),IF((D52)&lt;G28,(5602+6639-(D52-F28)*0.135),(5602+6639-(G28-F28)*0.135-(D52-G28)*0.057-4901)))</f>
        <v>10493.884</v>
      </c>
      <c r="F28" s="59">
        <v>31120</v>
      </c>
      <c r="G28" s="59">
        <v>67426</v>
      </c>
      <c r="H28" s="59">
        <v>67427</v>
      </c>
      <c r="K28" s="132"/>
      <c r="L28" s="57"/>
      <c r="M28" s="57"/>
      <c r="N28" s="57"/>
      <c r="P28" s="45"/>
      <c r="Q28" s="38"/>
      <c r="R28" s="38"/>
      <c r="S28" s="38"/>
      <c r="T28" s="29"/>
      <c r="U28" s="44"/>
      <c r="W28" s="45"/>
      <c r="AA28" s="29"/>
      <c r="AB28" s="44"/>
    </row>
    <row r="29" spans="1:28" x14ac:dyDescent="0.25">
      <c r="A29" s="35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L29" s="45"/>
      <c r="P29" s="29"/>
      <c r="Q29" s="44"/>
    </row>
    <row r="30" spans="1:28" x14ac:dyDescent="0.25">
      <c r="A30" s="35" t="s">
        <v>28</v>
      </c>
      <c r="B30" s="36">
        <f ca="1">C30/12</f>
        <v>47.697500000000012</v>
      </c>
      <c r="C30" s="36">
        <f ca="1">G30</f>
        <v>572.37000000000012</v>
      </c>
      <c r="E30" s="46">
        <f>290+290+153+153</f>
        <v>886</v>
      </c>
      <c r="F30" s="25">
        <f ca="1">IF((D52-C27-37789)*0.05&gt;0,(D52-C27-37789)*0.05,0)</f>
        <v>313.62999999999994</v>
      </c>
      <c r="G30" s="46">
        <f ca="1">IF(E30&gt;F30,E30-F30,0)</f>
        <v>572.37000000000012</v>
      </c>
      <c r="H30" s="38"/>
      <c r="I30" s="38"/>
      <c r="K30" s="25"/>
      <c r="L30" s="45"/>
      <c r="P30" s="29"/>
      <c r="Q30" s="44"/>
    </row>
    <row r="31" spans="1:28" x14ac:dyDescent="0.25">
      <c r="A31" s="35" t="s">
        <v>29</v>
      </c>
      <c r="B31" s="36">
        <f ca="1">C31/12</f>
        <v>0</v>
      </c>
      <c r="C31" s="36">
        <f ca="1">IF(C15&gt;F34,C15-F34,0)</f>
        <v>0</v>
      </c>
      <c r="D31" s="46"/>
      <c r="E31" s="46" t="s">
        <v>74</v>
      </c>
      <c r="F31" s="46"/>
      <c r="H31" s="38"/>
      <c r="J31" s="38"/>
      <c r="K31" s="25"/>
      <c r="L31" s="45"/>
      <c r="P31" s="29"/>
    </row>
    <row r="32" spans="1:28" ht="15.6" customHeight="1" x14ac:dyDescent="0.25">
      <c r="A32" s="35" t="s">
        <v>82</v>
      </c>
      <c r="B32" s="36">
        <f ca="1">E32</f>
        <v>0</v>
      </c>
      <c r="C32" s="36">
        <f ca="1">E32*12</f>
        <v>0</v>
      </c>
      <c r="D32" s="46"/>
      <c r="E32" s="46">
        <f ca="1">IF(D52&lt;35840,(0.75*1375-D52*0.3/12),0)</f>
        <v>0</v>
      </c>
      <c r="F32" s="46"/>
      <c r="H32" s="38"/>
      <c r="J32" s="38"/>
      <c r="K32" s="25"/>
      <c r="L32" s="45"/>
      <c r="P32" s="29"/>
    </row>
    <row r="33" spans="1:16" x14ac:dyDescent="0.25">
      <c r="A33" s="35" t="s">
        <v>25</v>
      </c>
      <c r="B33" s="36">
        <f ca="1">SUM(B26:B31)</f>
        <v>922.18783333333329</v>
      </c>
      <c r="C33" s="36">
        <f ca="1">SUM(C26:C31)</f>
        <v>11066.254000000001</v>
      </c>
      <c r="E33" s="52" t="s">
        <v>83</v>
      </c>
      <c r="F33" s="52" t="s">
        <v>84</v>
      </c>
      <c r="G33" s="52"/>
      <c r="H33" s="38"/>
      <c r="I33" s="38"/>
      <c r="L33" s="45"/>
    </row>
    <row r="34" spans="1:16" x14ac:dyDescent="0.25">
      <c r="B34" s="38"/>
      <c r="C34" s="38"/>
      <c r="E34" s="46">
        <f>10982+5438+3042*2</f>
        <v>22504</v>
      </c>
      <c r="F34" s="46">
        <f ca="1">IF(IF((D52-E34+5356*2)&lt;0,(D52-E34)*0.25,(D52-E34+5356*2)*0.5+1339*2)&gt;0,IF((D52-E34+5356*2)&lt;0,(D52-E34)*0.25,(D52-E34+5356*2)*0.5+1339*2),0)</f>
        <v>18812.8</v>
      </c>
      <c r="H34" s="38"/>
      <c r="I34" s="38"/>
      <c r="L34" s="27"/>
      <c r="M34" s="28"/>
      <c r="N34" s="28"/>
      <c r="O34" s="28"/>
      <c r="P34" s="61"/>
    </row>
    <row r="35" spans="1:16" x14ac:dyDescent="0.25">
      <c r="B35" s="38"/>
      <c r="C35" s="38"/>
      <c r="P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27"/>
      <c r="F38" s="27"/>
      <c r="G38" s="27"/>
      <c r="H38" s="27"/>
      <c r="I38" s="27"/>
    </row>
    <row r="39" spans="1:16" x14ac:dyDescent="0.25">
      <c r="A39" s="35" t="s">
        <v>31</v>
      </c>
      <c r="B39" s="36"/>
      <c r="C39" s="36">
        <f ca="1">C33+D57</f>
        <v>57960.277016159998</v>
      </c>
      <c r="H39" s="38"/>
      <c r="I39" s="38"/>
    </row>
    <row r="40" spans="1:16" x14ac:dyDescent="0.25">
      <c r="A40" s="35" t="s">
        <v>32</v>
      </c>
      <c r="B40" s="36"/>
      <c r="C40" s="36">
        <f>C20</f>
        <v>57950.528823969216</v>
      </c>
      <c r="H40" s="38"/>
      <c r="I40" s="38"/>
    </row>
    <row r="41" spans="1:16" x14ac:dyDescent="0.25">
      <c r="A41" s="35" t="s">
        <v>33</v>
      </c>
      <c r="B41" s="36"/>
      <c r="C41" s="36">
        <f ca="1">C39-C40</f>
        <v>9.7481921907819924</v>
      </c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B44" s="63" t="s">
        <v>86</v>
      </c>
    </row>
    <row r="45" spans="1:16" x14ac:dyDescent="0.25">
      <c r="B45" s="27"/>
    </row>
    <row r="46" spans="1:16" s="45" customFormat="1" x14ac:dyDescent="0.25">
      <c r="A46" s="31"/>
      <c r="B46" s="31" t="s">
        <v>34</v>
      </c>
      <c r="C46" s="31" t="s">
        <v>87</v>
      </c>
      <c r="D46" s="31" t="s">
        <v>25</v>
      </c>
      <c r="F46" s="21"/>
      <c r="G46" s="21"/>
      <c r="H46" s="21"/>
      <c r="I46" s="133"/>
    </row>
    <row r="47" spans="1:16" x14ac:dyDescent="0.25">
      <c r="A47" s="35" t="s">
        <v>35</v>
      </c>
      <c r="B47" s="35">
        <v>35</v>
      </c>
      <c r="C47" s="134">
        <v>35</v>
      </c>
      <c r="D47" s="35">
        <f>B47+C47</f>
        <v>70</v>
      </c>
      <c r="I47" s="38"/>
    </row>
    <row r="48" spans="1:16" x14ac:dyDescent="0.25">
      <c r="A48" s="35" t="s">
        <v>36</v>
      </c>
      <c r="B48" s="72">
        <v>14.19</v>
      </c>
      <c r="C48" s="135">
        <f>B48</f>
        <v>14.19</v>
      </c>
      <c r="D48" s="35"/>
      <c r="I48" s="38"/>
    </row>
    <row r="49" spans="1:17" ht="1.5" customHeight="1" x14ac:dyDescent="0.25">
      <c r="A49" s="30"/>
      <c r="B49" s="30">
        <v>12.91</v>
      </c>
      <c r="C49" s="31"/>
      <c r="D49" s="30"/>
      <c r="I49" s="61"/>
    </row>
    <row r="50" spans="1:17" x14ac:dyDescent="0.25">
      <c r="A50" s="35" t="s">
        <v>37</v>
      </c>
      <c r="B50" s="36">
        <f>B48*B47*52</f>
        <v>25825.8</v>
      </c>
      <c r="C50" s="36">
        <f>C48*C47*52</f>
        <v>25825.8</v>
      </c>
      <c r="D50" s="36">
        <f>B50+C50</f>
        <v>51651.6</v>
      </c>
      <c r="F50" s="52" t="s">
        <v>88</v>
      </c>
      <c r="I50" s="38"/>
      <c r="K50" s="21" t="s">
        <v>88</v>
      </c>
    </row>
    <row r="51" spans="1:17" x14ac:dyDescent="0.25">
      <c r="A51" s="35" t="s">
        <v>38</v>
      </c>
      <c r="B51" s="36">
        <f ca="1">C27-C15+C31</f>
        <v>-7590</v>
      </c>
      <c r="C51" s="36"/>
      <c r="D51" s="36">
        <f ca="1">B51+C51</f>
        <v>-7590</v>
      </c>
      <c r="F51" s="52" t="s">
        <v>89</v>
      </c>
      <c r="G51" s="52" t="s">
        <v>90</v>
      </c>
      <c r="H51" s="52" t="s">
        <v>91</v>
      </c>
      <c r="I51" s="52" t="s">
        <v>92</v>
      </c>
      <c r="K51" s="52" t="s">
        <v>89</v>
      </c>
      <c r="L51" s="52" t="s">
        <v>93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</row>
    <row r="52" spans="1:17" x14ac:dyDescent="0.25">
      <c r="A52" s="35" t="s">
        <v>39</v>
      </c>
      <c r="B52" s="36">
        <f ca="1">B50+B51</f>
        <v>18235.8</v>
      </c>
      <c r="C52" s="36">
        <f>C50+C51</f>
        <v>25825.8</v>
      </c>
      <c r="D52" s="36">
        <f t="shared" ref="D52:D58" ca="1" si="0">B52+C52</f>
        <v>44061.599999999999</v>
      </c>
      <c r="F52" s="64">
        <v>1</v>
      </c>
      <c r="G52" s="46">
        <f ca="1">B52*0.15</f>
        <v>2735.37</v>
      </c>
      <c r="H52" s="46">
        <f ca="1">(L52+B53+B54+M52+N52)*0.15</f>
        <v>2502.0779639999996</v>
      </c>
      <c r="I52" s="46">
        <f ca="1">IF(O52&gt;0, O52,0)+P52+Q52</f>
        <v>534.6</v>
      </c>
      <c r="K52" s="21">
        <v>1</v>
      </c>
      <c r="L52" s="38">
        <v>12069</v>
      </c>
      <c r="M52" s="38">
        <v>1222</v>
      </c>
      <c r="N52" s="21">
        <f ca="1">IF(C17-B52*0.03&gt;0,C17-B52*0.03,0)</f>
        <v>1832.5259999999998</v>
      </c>
      <c r="O52" s="21">
        <f>IF((D50-3000)*0.26&lt;2335,(D50-3000)*0.26,2335)-IF(D50-17025&gt;0,D50-17025,0)*0.12</f>
        <v>-1820.192</v>
      </c>
      <c r="P52" s="21">
        <f ca="1">IF((0.25*N52 - 0.05*(D52-27044))&gt;0,(0.25*N52 - 0.05*(D52-27044)),0)</f>
        <v>0</v>
      </c>
      <c r="Q52" s="21">
        <f>243+121+61+61+(243+121+61+61)*0.1</f>
        <v>534.6</v>
      </c>
    </row>
    <row r="53" spans="1:17" x14ac:dyDescent="0.25">
      <c r="A53" s="35" t="s">
        <v>40</v>
      </c>
      <c r="B53" s="36">
        <f>IF(B50*0.0162&lt;860.22,B50*0.0162,860.22)</f>
        <v>418.37795999999997</v>
      </c>
      <c r="C53" s="36">
        <f>C50*0.0162</f>
        <v>418.37795999999997</v>
      </c>
      <c r="D53" s="36">
        <f t="shared" si="0"/>
        <v>836.75591999999995</v>
      </c>
      <c r="F53" s="64">
        <v>2</v>
      </c>
      <c r="G53" s="46">
        <f>C52*0.15</f>
        <v>3873.87</v>
      </c>
      <c r="H53" s="46">
        <f>(L53+C53+C54+M53+C18)*0.15</f>
        <v>2495.8790639999997</v>
      </c>
      <c r="I53" s="38"/>
      <c r="K53" s="21">
        <v>2</v>
      </c>
      <c r="L53" s="38">
        <v>12069</v>
      </c>
      <c r="M53" s="38">
        <v>1222</v>
      </c>
    </row>
    <row r="54" spans="1:17" x14ac:dyDescent="0.25">
      <c r="A54" s="35" t="s">
        <v>41</v>
      </c>
      <c r="B54" s="36">
        <f>IF(((B50-3500)*0.051)&lt;2748.9,(B50-3500)*0.051,2748.9)</f>
        <v>1138.6157999999998</v>
      </c>
      <c r="C54" s="36">
        <f>IF(((C50-3500)*0.051)&lt;2748.9,(C50-3500)*0.051,2748.9)</f>
        <v>1138.6157999999998</v>
      </c>
      <c r="D54" s="36">
        <f t="shared" si="0"/>
        <v>2277.2315999999996</v>
      </c>
    </row>
    <row r="55" spans="1:17" x14ac:dyDescent="0.25">
      <c r="A55" s="35" t="s">
        <v>42</v>
      </c>
      <c r="B55" s="36">
        <f ca="1">IF(G52-H52&lt;0,0,G52-H52)-I52</f>
        <v>-301.30796399999974</v>
      </c>
      <c r="C55" s="36">
        <f>IF(G53-H53&lt;0,0,G53-H53)</f>
        <v>1377.9909360000001</v>
      </c>
      <c r="D55" s="36">
        <f t="shared" ca="1" si="0"/>
        <v>1076.6829720000005</v>
      </c>
      <c r="E55" s="49"/>
      <c r="F55" s="52" t="s">
        <v>99</v>
      </c>
      <c r="I55" s="38"/>
      <c r="K55" s="52" t="s">
        <v>99</v>
      </c>
    </row>
    <row r="56" spans="1:17" x14ac:dyDescent="0.25">
      <c r="A56" s="35" t="s">
        <v>43</v>
      </c>
      <c r="B56" s="36">
        <f ca="1">IF(G57-H57&lt;0,0,G57-H57)-I57</f>
        <v>518.02224191999994</v>
      </c>
      <c r="C56" s="36">
        <f ca="1">IF(G58-H58&lt;0,0,G58-H58)-I58</f>
        <v>48.884249920000229</v>
      </c>
      <c r="D56" s="36">
        <f t="shared" ca="1" si="0"/>
        <v>566.90649184000017</v>
      </c>
      <c r="E56" s="46"/>
      <c r="F56" s="52" t="s">
        <v>89</v>
      </c>
      <c r="G56" s="52" t="s">
        <v>90</v>
      </c>
      <c r="H56" s="52" t="s">
        <v>91</v>
      </c>
      <c r="I56" s="52" t="s">
        <v>100</v>
      </c>
      <c r="K56" s="52" t="s">
        <v>89</v>
      </c>
      <c r="L56" s="52" t="s">
        <v>93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7" x14ac:dyDescent="0.25">
      <c r="A57" s="35" t="s">
        <v>44</v>
      </c>
      <c r="B57" s="36">
        <f ca="1">B50-SUM(B53:B56)</f>
        <v>24052.091962079998</v>
      </c>
      <c r="C57" s="36">
        <f ca="1">C50-SUM(C53:C56)</f>
        <v>22841.93105408</v>
      </c>
      <c r="D57" s="36">
        <f t="shared" ca="1" si="0"/>
        <v>46894.023016159997</v>
      </c>
      <c r="E57" s="38"/>
      <c r="F57" s="64">
        <v>1</v>
      </c>
      <c r="G57" s="46">
        <f ca="1">IF(B52&lt;32670,B52*0.108,(B52-32670)*0.1275+(32670*0.108))</f>
        <v>1969.4663999999998</v>
      </c>
      <c r="H57" s="46">
        <f ca="1">(L57+B53+B54+N57+O57)*0.108</f>
        <v>1451.4441580799999</v>
      </c>
      <c r="I57" s="46">
        <v>0</v>
      </c>
      <c r="K57" s="21">
        <v>1</v>
      </c>
      <c r="L57" s="21">
        <v>9626</v>
      </c>
      <c r="N57" s="21">
        <f ca="1">IF(2065-B52*0.09&gt;0,2065-B52*0.09,0)</f>
        <v>423.77800000000002</v>
      </c>
      <c r="O57" s="21">
        <f ca="1">IF(C17-B52*0.03&gt;0,C17-B52*0.03,0)</f>
        <v>1832.5259999999998</v>
      </c>
    </row>
    <row r="58" spans="1:17" x14ac:dyDescent="0.25">
      <c r="A58" s="35" t="s">
        <v>45</v>
      </c>
      <c r="B58" s="36">
        <f ca="1">B57/12</f>
        <v>2004.3409968399999</v>
      </c>
      <c r="C58" s="36">
        <f ca="1">C57/12</f>
        <v>1903.4942545066667</v>
      </c>
      <c r="D58" s="36">
        <f t="shared" ca="1" si="0"/>
        <v>3907.8352513466666</v>
      </c>
      <c r="F58" s="64">
        <v>2</v>
      </c>
      <c r="G58" s="46">
        <f>IF(C52&lt;32670,C52*0.108,(C52-32670)*0.1275+(32670*0.108))</f>
        <v>2789.1864</v>
      </c>
      <c r="H58" s="46">
        <f>(L58+C53+C54+M58+N58)*0.108</f>
        <v>2038.9181500799998</v>
      </c>
      <c r="I58" s="46">
        <f ca="1">P58+Q58</f>
        <v>701.38400000000001</v>
      </c>
      <c r="K58" s="21">
        <v>2</v>
      </c>
      <c r="L58" s="21">
        <v>9626</v>
      </c>
      <c r="M58" s="38">
        <f>1491.2+120*8</f>
        <v>2451.1999999999998</v>
      </c>
      <c r="N58" s="21">
        <f>IF(2065+2752*2-C52*0.09&gt;0,2065+2752*2-C52*0.09,0)</f>
        <v>5244.6779999999999</v>
      </c>
      <c r="P58" s="21">
        <f ca="1">IF(195+195+26+26-(D52*0.01)&gt;0,195+195+26+26-(D52*0.01),0)</f>
        <v>1.3840000000000146</v>
      </c>
      <c r="Q58" s="21">
        <f ca="1">700-(IF(C32&gt;700,700,C32))</f>
        <v>700</v>
      </c>
    </row>
    <row r="59" spans="1:17" x14ac:dyDescent="0.25">
      <c r="B59" s="38"/>
      <c r="C59" s="38"/>
      <c r="D59" s="38"/>
    </row>
    <row r="60" spans="1:17" x14ac:dyDescent="0.25">
      <c r="B60" s="38"/>
      <c r="C60" s="38"/>
      <c r="D60" s="38"/>
    </row>
    <row r="61" spans="1:17" s="28" customFormat="1" ht="15.6" x14ac:dyDescent="0.3">
      <c r="B61" s="26" t="s">
        <v>105</v>
      </c>
    </row>
    <row r="63" spans="1:17" x14ac:dyDescent="0.25">
      <c r="A63" s="21" t="s">
        <v>106</v>
      </c>
      <c r="D63" s="38">
        <f>D50</f>
        <v>51651.6</v>
      </c>
    </row>
    <row r="64" spans="1:17" x14ac:dyDescent="0.25">
      <c r="A64" s="21" t="s">
        <v>107</v>
      </c>
      <c r="D64" s="38">
        <f ca="1">SUM(B53:B56)+SUM(C53:C56)</f>
        <v>4757.576983840001</v>
      </c>
    </row>
    <row r="65" spans="1:9" x14ac:dyDescent="0.25">
      <c r="A65" s="21" t="s">
        <v>108</v>
      </c>
      <c r="D65" s="38">
        <f ca="1">D63-D64</f>
        <v>46894.023016159997</v>
      </c>
    </row>
    <row r="66" spans="1:9" x14ac:dyDescent="0.25">
      <c r="A66" s="21" t="s">
        <v>109</v>
      </c>
      <c r="D66" s="38">
        <f ca="1">C33</f>
        <v>11066.254000000001</v>
      </c>
    </row>
    <row r="67" spans="1:9" x14ac:dyDescent="0.25">
      <c r="A67" s="21" t="s">
        <v>110</v>
      </c>
      <c r="D67" s="38">
        <f ca="1">D65+D66</f>
        <v>57960.277016159998</v>
      </c>
    </row>
    <row r="68" spans="1:9" x14ac:dyDescent="0.25">
      <c r="A68" s="21" t="s">
        <v>111</v>
      </c>
      <c r="D68" s="38">
        <f>C20</f>
        <v>57950.528823969216</v>
      </c>
    </row>
    <row r="69" spans="1:9" x14ac:dyDescent="0.25">
      <c r="A69" s="21" t="s">
        <v>112</v>
      </c>
      <c r="D69" s="38">
        <f ca="1">D67-D68</f>
        <v>9.7481921907819924</v>
      </c>
    </row>
    <row r="71" spans="1:9" ht="12.75" customHeight="1" x14ac:dyDescent="0.3"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S113"/>
  <sheetViews>
    <sheetView topLeftCell="A19" zoomScale="75" zoomScaleNormal="75" workbookViewId="0">
      <selection activeCell="O52" sqref="O52"/>
    </sheetView>
  </sheetViews>
  <sheetFormatPr defaultColWidth="8.5546875" defaultRowHeight="13.2" x14ac:dyDescent="0.25"/>
  <cols>
    <col min="1" max="1" width="16.5546875" style="21" customWidth="1"/>
    <col min="2" max="2" width="9.5546875" style="21" customWidth="1"/>
    <col min="3" max="3" width="11.44140625" style="21" customWidth="1"/>
    <col min="4" max="4" width="8.5546875" style="2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17.44140625" style="21" customWidth="1"/>
    <col min="12" max="12" width="12.21875" style="21" customWidth="1"/>
    <col min="13" max="13" width="15.44140625" style="45" customWidth="1"/>
    <col min="14" max="14" width="8.5546875" style="21"/>
    <col min="15" max="15" width="8" style="21" customWidth="1"/>
    <col min="16" max="16" width="7.44140625" style="21" customWidth="1"/>
    <col min="17" max="16384" width="8.5546875" style="21"/>
  </cols>
  <sheetData>
    <row r="1" spans="1:19" ht="17.399999999999999" x14ac:dyDescent="0.3">
      <c r="A1" s="20" t="s">
        <v>136</v>
      </c>
      <c r="B1" s="20"/>
    </row>
    <row r="2" spans="1:19" s="22" customFormat="1" ht="15" customHeight="1" x14ac:dyDescent="0.3">
      <c r="C2" s="22" t="s">
        <v>115</v>
      </c>
      <c r="D2" s="23"/>
      <c r="E2" s="24"/>
      <c r="M2" s="68"/>
    </row>
    <row r="3" spans="1:19" ht="15.6" x14ac:dyDescent="0.3">
      <c r="A3" s="25"/>
      <c r="C3" s="21" t="s">
        <v>116</v>
      </c>
      <c r="D3" s="23"/>
      <c r="E3" s="24"/>
      <c r="F3" s="22"/>
      <c r="G3" s="22"/>
      <c r="H3" s="22"/>
      <c r="I3" s="22"/>
      <c r="J3" s="22"/>
    </row>
    <row r="4" spans="1:19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19" ht="15.6" x14ac:dyDescent="0.3">
      <c r="B5" s="26" t="s">
        <v>49</v>
      </c>
      <c r="M5" s="27"/>
      <c r="N5" s="28"/>
      <c r="O5" s="28"/>
      <c r="P5" s="28"/>
    </row>
    <row r="6" spans="1:19" ht="12.75" customHeight="1" x14ac:dyDescent="0.3">
      <c r="C6" s="26"/>
      <c r="J6" s="27"/>
      <c r="Q6" s="29"/>
    </row>
    <row r="7" spans="1:19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25807.600000000002</v>
      </c>
      <c r="J7" s="27"/>
      <c r="K7" s="21" t="s">
        <v>117</v>
      </c>
      <c r="N7" s="45"/>
    </row>
    <row r="8" spans="1:19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15206.09666666667</v>
      </c>
      <c r="J8" s="38"/>
      <c r="K8" s="21" t="s">
        <v>55</v>
      </c>
      <c r="L8" s="21" t="s">
        <v>56</v>
      </c>
      <c r="M8" s="21" t="s">
        <v>57</v>
      </c>
      <c r="N8" s="21" t="s">
        <v>58</v>
      </c>
      <c r="O8" s="21" t="s">
        <v>59</v>
      </c>
      <c r="P8" s="44"/>
    </row>
    <row r="9" spans="1:19" x14ac:dyDescent="0.25">
      <c r="A9" s="206" t="s">
        <v>14</v>
      </c>
      <c r="B9" s="36">
        <f>C9/12</f>
        <v>471.36511491053676</v>
      </c>
      <c r="C9" s="36">
        <f>((0.912*11606*(153.6/150.9))/2)*1.05</f>
        <v>5656.3813789264414</v>
      </c>
      <c r="D9" s="40">
        <f>C9/C20</f>
        <v>0.13145039012065943</v>
      </c>
      <c r="E9" s="40">
        <f>C9/B50</f>
        <v>0.21917502514478063</v>
      </c>
      <c r="F9" s="41"/>
      <c r="G9" s="38"/>
      <c r="H9" s="42" t="s">
        <v>64</v>
      </c>
      <c r="I9" s="43">
        <f ca="1">I7+I8</f>
        <v>41013.69666666667</v>
      </c>
      <c r="J9" s="27"/>
      <c r="K9" s="21">
        <v>243</v>
      </c>
      <c r="L9" s="21">
        <v>20.8</v>
      </c>
      <c r="M9" s="21">
        <f>K9*L9</f>
        <v>5054.4000000000005</v>
      </c>
      <c r="N9" s="21">
        <v>2</v>
      </c>
      <c r="O9" s="21">
        <f>N9*K9</f>
        <v>486</v>
      </c>
      <c r="P9" s="44"/>
      <c r="S9" s="29"/>
    </row>
    <row r="10" spans="1:19" x14ac:dyDescent="0.25">
      <c r="A10" s="206" t="s">
        <v>15</v>
      </c>
      <c r="B10" s="36">
        <f>C10/12</f>
        <v>120.58338575850318</v>
      </c>
      <c r="C10" s="36">
        <f>((2042*(93.7/93.5))/2)*SQRT(2)</f>
        <v>1447.0006291020381</v>
      </c>
      <c r="D10" s="40">
        <f>C10/C20</f>
        <v>3.3627293574819632E-2</v>
      </c>
      <c r="E10" s="40">
        <f>C10/B50</f>
        <v>5.6068779317024364E-2</v>
      </c>
      <c r="F10" s="41"/>
      <c r="H10" s="45"/>
      <c r="I10" s="45"/>
      <c r="J10" s="38"/>
      <c r="M10" s="21">
        <f>11.95*3.5*26</f>
        <v>1087.4499999999998</v>
      </c>
      <c r="P10" s="44"/>
      <c r="S10" s="29"/>
    </row>
    <row r="11" spans="1:19" x14ac:dyDescent="0.25">
      <c r="A11" s="206" t="s">
        <v>16</v>
      </c>
      <c r="B11" s="36">
        <f>C11/12</f>
        <v>1033.1426897256276</v>
      </c>
      <c r="C11" s="36">
        <f>(950*12)+(487.63*(163.4/114.2))+(25*12)</f>
        <v>12397.712276707531</v>
      </c>
      <c r="D11" s="40">
        <f>C11/C20</f>
        <v>0.28811425648356853</v>
      </c>
      <c r="E11" s="40">
        <f>C11/B50</f>
        <v>0.4803899733686019</v>
      </c>
      <c r="G11" s="38"/>
      <c r="H11" s="25" t="s">
        <v>67</v>
      </c>
      <c r="I11" s="46">
        <f ca="1">B55+B56</f>
        <v>-3640.4805000000001</v>
      </c>
      <c r="J11" s="27"/>
      <c r="M11" s="21">
        <f>SUM(M8:M10)</f>
        <v>6141.85</v>
      </c>
      <c r="O11" s="29"/>
      <c r="P11" s="44"/>
      <c r="S11" s="29"/>
    </row>
    <row r="12" spans="1:19" x14ac:dyDescent="0.25">
      <c r="A12" s="206" t="s">
        <v>17</v>
      </c>
      <c r="B12" s="36">
        <f>C12/12</f>
        <v>442.5605562855892</v>
      </c>
      <c r="C12" s="36">
        <f>(4817*167.8/152.2)</f>
        <v>5310.7266754270704</v>
      </c>
      <c r="D12" s="40">
        <f>C12/C20</f>
        <v>0.12341761393776053</v>
      </c>
      <c r="E12" s="40">
        <f>C12/B50</f>
        <v>0.20578150139598683</v>
      </c>
      <c r="F12" s="41"/>
      <c r="H12" s="46" t="s">
        <v>68</v>
      </c>
      <c r="I12" s="46">
        <f ca="1">C33</f>
        <v>15206.09666666667</v>
      </c>
      <c r="J12" s="29"/>
      <c r="M12" s="21"/>
      <c r="O12" s="29"/>
      <c r="P12" s="44"/>
      <c r="S12" s="29"/>
    </row>
    <row r="13" spans="1:19" x14ac:dyDescent="0.25">
      <c r="A13" s="206" t="s">
        <v>18</v>
      </c>
      <c r="B13" s="36">
        <f>C13/12</f>
        <v>675.96665564222076</v>
      </c>
      <c r="C13" s="36">
        <f>11108*(142/137.5)/2*SQRT(2)</f>
        <v>8111.5998677066491</v>
      </c>
      <c r="D13" s="40">
        <f>C13/C20</f>
        <v>0.18850796926198474</v>
      </c>
      <c r="E13" s="40">
        <f>C13/B50</f>
        <v>0.31431050805602412</v>
      </c>
      <c r="H13" s="43" t="s">
        <v>70</v>
      </c>
      <c r="I13" s="43">
        <f ca="1">I11-I12</f>
        <v>-18846.57716666667</v>
      </c>
      <c r="J13" s="38"/>
      <c r="K13" s="38"/>
      <c r="O13" s="29"/>
      <c r="P13" s="44"/>
      <c r="S13" s="29"/>
    </row>
    <row r="14" spans="1:19" s="49" customFormat="1" x14ac:dyDescent="0.25">
      <c r="A14" s="37" t="s">
        <v>19</v>
      </c>
      <c r="B14" s="47">
        <f>SUM(B9:B13)</f>
        <v>2743.6184023224778</v>
      </c>
      <c r="C14" s="47">
        <f>SUM(C9:C13)</f>
        <v>32923.420827869733</v>
      </c>
      <c r="D14" s="48">
        <f>C14/C20</f>
        <v>0.76511752337879291</v>
      </c>
      <c r="E14" s="48">
        <f>C14/B50</f>
        <v>1.2757257872824179</v>
      </c>
      <c r="G14" s="43"/>
      <c r="H14" s="46" t="s">
        <v>71</v>
      </c>
      <c r="I14" s="46">
        <f>B53+B54</f>
        <v>1623.5242800000001</v>
      </c>
      <c r="J14" s="43"/>
      <c r="K14" s="43"/>
      <c r="M14" s="45"/>
      <c r="N14" s="50"/>
      <c r="O14" s="29"/>
      <c r="P14" s="44"/>
      <c r="Q14" s="21"/>
      <c r="R14" s="21"/>
      <c r="S14" s="29"/>
    </row>
    <row r="15" spans="1:19" x14ac:dyDescent="0.25">
      <c r="A15" s="206" t="s">
        <v>20</v>
      </c>
      <c r="B15" s="36">
        <f>C15/12</f>
        <v>511.82083333333338</v>
      </c>
      <c r="C15" s="36">
        <f>M11</f>
        <v>6141.85</v>
      </c>
      <c r="D15" s="40">
        <f>C15/C20</f>
        <v>0.14273234502370202</v>
      </c>
      <c r="E15" s="40">
        <f>C15/B50</f>
        <v>0.23798609711867821</v>
      </c>
      <c r="G15" s="38"/>
      <c r="H15" s="49" t="s">
        <v>72</v>
      </c>
      <c r="I15" s="43">
        <f ca="1">I13+I14</f>
        <v>-17223.052886666668</v>
      </c>
      <c r="J15" s="38"/>
      <c r="K15" s="38"/>
      <c r="O15" s="29"/>
      <c r="P15" s="44"/>
      <c r="Q15" s="49"/>
      <c r="S15" s="29"/>
    </row>
    <row r="16" spans="1:19" x14ac:dyDescent="0.25">
      <c r="A16" s="206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O16" s="29"/>
      <c r="P16" s="44"/>
      <c r="S16" s="29"/>
    </row>
    <row r="17" spans="1:19" x14ac:dyDescent="0.25">
      <c r="A17" s="206" t="s">
        <v>22</v>
      </c>
      <c r="B17" s="36">
        <f>C17/12</f>
        <v>88.7</v>
      </c>
      <c r="C17" s="36">
        <f>(68.25+20.45)*12</f>
        <v>1064.4000000000001</v>
      </c>
      <c r="D17" s="40">
        <f>C17/C20</f>
        <v>2.4735919640373572E-2</v>
      </c>
      <c r="E17" s="40">
        <f>C17/B50</f>
        <v>4.1243664656922766E-2</v>
      </c>
      <c r="G17" s="38"/>
      <c r="H17" s="38"/>
      <c r="I17" s="38"/>
      <c r="J17" s="38"/>
      <c r="K17" s="38"/>
      <c r="O17" s="29"/>
      <c r="P17" s="44"/>
      <c r="S17" s="29"/>
    </row>
    <row r="18" spans="1:19" x14ac:dyDescent="0.25">
      <c r="A18" s="206" t="s">
        <v>23</v>
      </c>
      <c r="B18" s="36">
        <f>C18/12</f>
        <v>159.02250000000001</v>
      </c>
      <c r="C18" s="36">
        <v>1908.27</v>
      </c>
      <c r="D18" s="40">
        <f>C18/C20</f>
        <v>4.4346874644997814E-2</v>
      </c>
      <c r="E18" s="40">
        <f>C18/B50</f>
        <v>7.3942172073342735E-2</v>
      </c>
      <c r="G18" s="38"/>
      <c r="H18" s="38"/>
      <c r="I18" s="38"/>
      <c r="J18" s="38"/>
      <c r="K18" s="38"/>
      <c r="O18" s="29"/>
      <c r="P18" s="44"/>
      <c r="S18" s="29"/>
    </row>
    <row r="19" spans="1:19" x14ac:dyDescent="0.25">
      <c r="A19" s="35" t="s">
        <v>24</v>
      </c>
      <c r="B19" s="36">
        <f>C19/12</f>
        <v>82.716666666666669</v>
      </c>
      <c r="C19" s="36">
        <f>B47*B48*2</f>
        <v>992.6</v>
      </c>
      <c r="D19" s="40">
        <f>C19/C20</f>
        <v>2.3067337312133417E-2</v>
      </c>
      <c r="E19" s="40">
        <f>C19/B50</f>
        <v>3.8461538461538457E-2</v>
      </c>
      <c r="G19" s="38"/>
      <c r="H19" s="38"/>
      <c r="I19" s="38"/>
      <c r="J19" s="38"/>
      <c r="K19" s="38"/>
      <c r="O19" s="29"/>
      <c r="P19" s="44"/>
      <c r="S19" s="29"/>
    </row>
    <row r="20" spans="1:19" x14ac:dyDescent="0.25">
      <c r="A20" s="35" t="s">
        <v>25</v>
      </c>
      <c r="B20" s="36">
        <f>SUM(B9:B19)-B14</f>
        <v>3585.8784023224771</v>
      </c>
      <c r="C20" s="36">
        <f>SUM(C9:C19)-C14</f>
        <v>43030.540827869743</v>
      </c>
      <c r="D20" s="40">
        <f>C20/C20</f>
        <v>1</v>
      </c>
      <c r="E20" s="40">
        <f>SUM(E9:E18)-E14</f>
        <v>1.628897721131362</v>
      </c>
      <c r="G20" s="38"/>
      <c r="H20" s="38"/>
      <c r="I20" s="29"/>
      <c r="J20" s="38"/>
      <c r="K20" s="38"/>
      <c r="O20" s="29"/>
      <c r="P20" s="44"/>
      <c r="S20" s="29"/>
    </row>
    <row r="21" spans="1:19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O21" s="29"/>
      <c r="P21" s="44"/>
      <c r="S21" s="29"/>
    </row>
    <row r="22" spans="1:19" x14ac:dyDescent="0.25">
      <c r="B22" s="38"/>
      <c r="C22" s="38"/>
      <c r="O22" s="29"/>
      <c r="P22" s="44"/>
      <c r="S22" s="29"/>
    </row>
    <row r="23" spans="1:19" ht="15.6" x14ac:dyDescent="0.3">
      <c r="B23" s="26" t="s">
        <v>73</v>
      </c>
      <c r="O23" s="29"/>
      <c r="P23" s="44"/>
      <c r="S23" s="29"/>
    </row>
    <row r="24" spans="1:19" ht="12.75" customHeight="1" x14ac:dyDescent="0.3">
      <c r="C24" s="26"/>
      <c r="O24" s="29"/>
      <c r="P24" s="44"/>
      <c r="S24" s="29"/>
    </row>
    <row r="25" spans="1:19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O25" s="29"/>
      <c r="P25" s="44"/>
    </row>
    <row r="26" spans="1:19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O26" s="29"/>
      <c r="P26" s="44"/>
    </row>
    <row r="27" spans="1:19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O27" s="29"/>
      <c r="P27" s="44"/>
    </row>
    <row r="28" spans="1:19" x14ac:dyDescent="0.25">
      <c r="A28" s="206" t="s">
        <v>27</v>
      </c>
      <c r="B28" s="57">
        <f ca="1">C28/12</f>
        <v>569.41666666666663</v>
      </c>
      <c r="C28" s="36">
        <f ca="1">MAX(0,E28)</f>
        <v>6833</v>
      </c>
      <c r="E28" s="58">
        <f ca="1">IF(B52&lt;F28,(6833),IF(B52&lt;G28,(6833-(B52-F28)*0.07),(6833-(G28-F28)*0.07-(B52-G28)*0.032-2616)))</f>
        <v>6833</v>
      </c>
      <c r="F28" s="59">
        <v>32028</v>
      </c>
      <c r="G28" s="59">
        <v>69395</v>
      </c>
      <c r="H28" s="60">
        <f>(6400+5400-(G28-F28)*0.135)/0.057+G28</f>
        <v>187911.75438596489</v>
      </c>
      <c r="K28" s="25"/>
      <c r="O28" s="29"/>
      <c r="P28" s="44"/>
    </row>
    <row r="29" spans="1:19" x14ac:dyDescent="0.25">
      <c r="A29" s="206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O29" s="29"/>
      <c r="P29" s="44"/>
    </row>
    <row r="30" spans="1:19" x14ac:dyDescent="0.25">
      <c r="A30" s="206" t="s">
        <v>28</v>
      </c>
      <c r="B30" s="36">
        <f ca="1">(C30)/12</f>
        <v>62.916666666666664</v>
      </c>
      <c r="C30" s="36">
        <f ca="1">G30</f>
        <v>755</v>
      </c>
      <c r="D30" s="25"/>
      <c r="E30" s="46">
        <f>299+299+157</f>
        <v>755</v>
      </c>
      <c r="F30" s="25">
        <f ca="1">IF((B52-38892)*0.05&gt;0,(B52-38892)*0.05,0)</f>
        <v>0</v>
      </c>
      <c r="G30" s="46">
        <f ca="1">IF(E30&gt;F30,E30-F30,0)</f>
        <v>755</v>
      </c>
      <c r="H30" s="38"/>
      <c r="I30" s="38"/>
      <c r="K30" s="25"/>
      <c r="O30" s="29"/>
    </row>
    <row r="31" spans="1:19" x14ac:dyDescent="0.25">
      <c r="A31" s="206" t="s">
        <v>29</v>
      </c>
      <c r="B31" s="36">
        <f ca="1">C31/12</f>
        <v>132.69305555555562</v>
      </c>
      <c r="C31" s="36">
        <f ca="1">IF(C15&gt;F34,C15-F34,0)</f>
        <v>1592.3166666666675</v>
      </c>
      <c r="D31" s="46"/>
      <c r="E31" s="21" t="s">
        <v>137</v>
      </c>
      <c r="H31" s="38"/>
      <c r="J31" s="38"/>
      <c r="K31" s="25"/>
    </row>
    <row r="32" spans="1:19" x14ac:dyDescent="0.25">
      <c r="A32" s="206" t="s">
        <v>82</v>
      </c>
      <c r="B32" s="36">
        <f ca="1">E32</f>
        <v>502.14833333333354</v>
      </c>
      <c r="C32" s="36">
        <f ca="1">E32*12</f>
        <v>6025.7800000000025</v>
      </c>
      <c r="D32" s="46"/>
      <c r="E32" s="46">
        <f ca="1">IF(B52&lt;39680,(0.8*1292-B52*0.3/12),0)</f>
        <v>502.14833333333343</v>
      </c>
      <c r="H32" s="38"/>
      <c r="J32" s="38"/>
      <c r="K32" s="25"/>
    </row>
    <row r="33" spans="1:15" x14ac:dyDescent="0.25">
      <c r="A33" s="35" t="s">
        <v>25</v>
      </c>
      <c r="B33" s="36">
        <f ca="1">SUM(B26:B32)</f>
        <v>1267.1747222222225</v>
      </c>
      <c r="C33" s="36">
        <f ca="1">SUM(C26:C32)</f>
        <v>15206.09666666667</v>
      </c>
      <c r="E33" s="52" t="s">
        <v>83</v>
      </c>
      <c r="F33" s="52" t="s">
        <v>84</v>
      </c>
      <c r="G33" s="52"/>
      <c r="H33" s="38"/>
      <c r="I33" s="38"/>
      <c r="M33" s="27"/>
      <c r="N33" s="28"/>
      <c r="O33" s="61"/>
    </row>
    <row r="34" spans="1:15" x14ac:dyDescent="0.25">
      <c r="B34" s="38"/>
      <c r="C34" s="38"/>
      <c r="E34" s="21">
        <f>15924+7885</f>
        <v>23809</v>
      </c>
      <c r="F34" s="38">
        <f ca="1">IF(IF((B52-E34+7766)&lt;0,(B52-E34)*0.25,(B52-E34+7766)*0.5+1942)&gt;0,IF((B52-E34+7766)&lt;0,(B52-E34)*0.25,(B52-E34+7766)*0.5+1942),0)</f>
        <v>4549.5333333333347</v>
      </c>
      <c r="H34" s="38"/>
      <c r="I34" s="38"/>
    </row>
    <row r="35" spans="1:15" x14ac:dyDescent="0.25">
      <c r="B35" s="38"/>
      <c r="C35" s="38"/>
    </row>
    <row r="36" spans="1:15" ht="15.6" x14ac:dyDescent="0.3">
      <c r="B36" s="26" t="s">
        <v>85</v>
      </c>
    </row>
    <row r="37" spans="1:15" ht="12.75" customHeight="1" x14ac:dyDescent="0.25">
      <c r="A37" s="22"/>
    </row>
    <row r="38" spans="1:15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5" x14ac:dyDescent="0.25">
      <c r="A39" s="35" t="s">
        <v>31</v>
      </c>
      <c r="B39" s="36"/>
      <c r="C39" s="36">
        <f ca="1">C33+B57</f>
        <v>43030.65288666667</v>
      </c>
      <c r="E39" s="52"/>
      <c r="F39" s="52"/>
      <c r="G39" s="52"/>
      <c r="H39" s="53"/>
      <c r="I39" s="53"/>
    </row>
    <row r="40" spans="1:15" x14ac:dyDescent="0.25">
      <c r="A40" s="35" t="s">
        <v>120</v>
      </c>
      <c r="B40" s="36"/>
      <c r="C40" s="36">
        <f>C20</f>
        <v>43030.540827869743</v>
      </c>
      <c r="E40" s="52"/>
      <c r="F40" s="52"/>
      <c r="G40" s="52"/>
      <c r="H40" s="70"/>
      <c r="I40" s="53"/>
    </row>
    <row r="41" spans="1:15" x14ac:dyDescent="0.25">
      <c r="A41" s="35" t="s">
        <v>33</v>
      </c>
      <c r="B41" s="36"/>
      <c r="C41" s="36">
        <f ca="1">C39-C40</f>
        <v>0.11205879692715826</v>
      </c>
      <c r="E41" s="38"/>
      <c r="H41" s="38"/>
      <c r="I41" s="38"/>
    </row>
    <row r="42" spans="1:15" x14ac:dyDescent="0.25">
      <c r="B42" s="38"/>
      <c r="C42" s="38"/>
      <c r="H42" s="38"/>
      <c r="I42" s="38"/>
    </row>
    <row r="43" spans="1:15" x14ac:dyDescent="0.25">
      <c r="B43" s="38"/>
      <c r="C43" s="38"/>
      <c r="E43" s="38"/>
      <c r="H43" s="38"/>
      <c r="I43" s="38"/>
    </row>
    <row r="44" spans="1:15" ht="15.6" x14ac:dyDescent="0.3">
      <c r="A44" s="63" t="s">
        <v>121</v>
      </c>
    </row>
    <row r="45" spans="1:15" x14ac:dyDescent="0.25">
      <c r="B45" s="27"/>
    </row>
    <row r="46" spans="1:15" s="45" customFormat="1" x14ac:dyDescent="0.25">
      <c r="A46" s="31"/>
      <c r="B46" s="71" t="s">
        <v>34</v>
      </c>
      <c r="C46" s="27"/>
      <c r="D46" s="27"/>
    </row>
    <row r="47" spans="1:15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5" x14ac:dyDescent="0.25">
      <c r="A48" s="35" t="s">
        <v>36</v>
      </c>
      <c r="B48" s="72">
        <v>14.18</v>
      </c>
      <c r="E48" s="45"/>
      <c r="F48" s="45"/>
      <c r="G48" s="45"/>
      <c r="H48" s="45"/>
      <c r="I48" s="45"/>
    </row>
    <row r="49" spans="1:18" ht="3.75" customHeight="1" x14ac:dyDescent="0.25">
      <c r="A49" s="30"/>
      <c r="B49" s="30"/>
      <c r="E49" s="45"/>
      <c r="F49" s="45"/>
      <c r="G49" s="45"/>
      <c r="H49" s="45"/>
      <c r="I49" s="45"/>
    </row>
    <row r="50" spans="1:18" x14ac:dyDescent="0.25">
      <c r="A50" s="35" t="s">
        <v>122</v>
      </c>
      <c r="B50" s="36">
        <f>B48*B47*52</f>
        <v>25807.600000000002</v>
      </c>
      <c r="E50" s="45"/>
      <c r="F50" s="52" t="s">
        <v>88</v>
      </c>
      <c r="I50" s="38"/>
      <c r="K50" s="52" t="s">
        <v>88</v>
      </c>
      <c r="M50" s="21"/>
    </row>
    <row r="51" spans="1:18" x14ac:dyDescent="0.25">
      <c r="A51" s="35" t="s">
        <v>38</v>
      </c>
      <c r="B51" s="36">
        <f ca="1">-C15+C31</f>
        <v>-4549.5333333333328</v>
      </c>
      <c r="E51" s="45"/>
      <c r="F51" s="52" t="s">
        <v>89</v>
      </c>
      <c r="G51" s="52" t="s">
        <v>90</v>
      </c>
      <c r="H51" s="52" t="s">
        <v>91</v>
      </c>
      <c r="I51" s="52" t="s">
        <v>92</v>
      </c>
      <c r="K51" s="52" t="s">
        <v>89</v>
      </c>
      <c r="L51" s="52" t="s">
        <v>123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  <c r="R51" s="49" t="s">
        <v>163</v>
      </c>
    </row>
    <row r="52" spans="1:18" x14ac:dyDescent="0.25">
      <c r="A52" s="35" t="s">
        <v>39</v>
      </c>
      <c r="B52" s="36">
        <f ca="1">B50+B51</f>
        <v>21258.066666666669</v>
      </c>
      <c r="E52" s="45"/>
      <c r="F52" s="64">
        <v>1</v>
      </c>
      <c r="G52" s="46">
        <f ca="1">B52*0.15</f>
        <v>3188.7100000000005</v>
      </c>
      <c r="H52" s="46">
        <f ca="1">(L52+B53+B54+M52+N52+R52)*0.15</f>
        <v>4879.717842</v>
      </c>
      <c r="I52" s="46">
        <f ca="1">IF(O52&gt;0, O52,0)+P52+Q52</f>
        <v>3463.0611666666664</v>
      </c>
      <c r="K52" s="21">
        <v>1</v>
      </c>
      <c r="L52" s="38">
        <f>13808+13808</f>
        <v>27616</v>
      </c>
      <c r="M52" s="38">
        <v>1257</v>
      </c>
      <c r="N52" s="21">
        <f ca="1">IF(C17-B52*0.03&gt;0,C17-B52*0.03,0)</f>
        <v>426.65800000000002</v>
      </c>
      <c r="O52" s="21">
        <f>MAX(IF((B50-3000)*0.27&lt;2403,(B50-3000)*0.27,2403)-IF(B50-26177&gt;0,B50-26177,0)*0.15,0)</f>
        <v>2403</v>
      </c>
      <c r="P52" s="21">
        <f ca="1">IF((0.25*N52 - 0.05*(B52-28446))&gt;0,(0.25*N52 - 0.05*(B52-28446)),0)</f>
        <v>466.06116666666651</v>
      </c>
      <c r="Q52" s="21">
        <f>360+180+(360+180)*0.1</f>
        <v>594</v>
      </c>
      <c r="R52" s="21">
        <v>1608.27</v>
      </c>
    </row>
    <row r="53" spans="1:18" x14ac:dyDescent="0.25">
      <c r="A53" s="206" t="s">
        <v>40</v>
      </c>
      <c r="B53" s="36">
        <f>IF(B50*0.0158&lt;889.54,B50*0.0158,889.54)</f>
        <v>407.76008000000007</v>
      </c>
      <c r="E53" s="45"/>
      <c r="F53" s="64"/>
      <c r="G53" s="46"/>
      <c r="H53" s="46"/>
      <c r="I53" s="38"/>
    </row>
    <row r="54" spans="1:18" x14ac:dyDescent="0.25">
      <c r="A54" s="206" t="s">
        <v>41</v>
      </c>
      <c r="B54" s="36">
        <f>IF(((B50-3500)*0.0545)&lt;3166.45,(B50-3500)*0.0545,3166.45)</f>
        <v>1215.7642000000001</v>
      </c>
      <c r="C54" s="45"/>
      <c r="E54" s="45"/>
    </row>
    <row r="55" spans="1:18" x14ac:dyDescent="0.25">
      <c r="A55" s="206" t="s">
        <v>42</v>
      </c>
      <c r="B55" s="36">
        <f ca="1">IF(G52-H52&lt;0,0,G52-H52)-I52</f>
        <v>-3463.0611666666664</v>
      </c>
      <c r="C55" s="45"/>
      <c r="E55" s="45"/>
      <c r="F55" s="52" t="s">
        <v>99</v>
      </c>
      <c r="I55" s="38"/>
      <c r="K55" s="52" t="s">
        <v>99</v>
      </c>
      <c r="M55" s="21"/>
    </row>
    <row r="56" spans="1:18" x14ac:dyDescent="0.25">
      <c r="A56" s="206" t="s">
        <v>43</v>
      </c>
      <c r="B56" s="36">
        <f ca="1">IF(G57-H57&lt;0,0,G57-H57)-I57</f>
        <v>-177.41933333333333</v>
      </c>
      <c r="C56" s="38"/>
      <c r="E56" s="46"/>
      <c r="F56" s="52" t="s">
        <v>89</v>
      </c>
      <c r="G56" s="52" t="s">
        <v>90</v>
      </c>
      <c r="H56" s="52" t="s">
        <v>91</v>
      </c>
      <c r="I56" s="52" t="s">
        <v>100</v>
      </c>
      <c r="K56" s="52" t="s">
        <v>89</v>
      </c>
      <c r="L56" s="52" t="s">
        <v>123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8" x14ac:dyDescent="0.25">
      <c r="A57" s="35" t="s">
        <v>44</v>
      </c>
      <c r="B57" s="36">
        <f ca="1">B50-SUM(B53:B56)</f>
        <v>27824.556220000002</v>
      </c>
      <c r="E57" s="38"/>
      <c r="F57" s="64">
        <v>1</v>
      </c>
      <c r="G57" s="46">
        <f ca="1">IF(B52&lt;33723,B52*0.108,(B52-33723)*0.1275+(33723*0.108))</f>
        <v>2295.8712</v>
      </c>
      <c r="H57" s="46">
        <f ca="1">(L57+B53+B54+M57+N57+O57)*0.108</f>
        <v>2797.7644382400003</v>
      </c>
      <c r="I57" s="46">
        <f ca="1">P57+Q57</f>
        <v>177.4193333333333</v>
      </c>
      <c r="K57" s="21">
        <v>1</v>
      </c>
      <c r="L57" s="21">
        <f>9936+9134</f>
        <v>19070</v>
      </c>
      <c r="M57" s="73">
        <f>1608.27+120*8</f>
        <v>2568.27</v>
      </c>
      <c r="N57" s="21">
        <f ca="1">IF(2065*2-B52*0.09&gt;0,2065*2-B52*0.09,0)</f>
        <v>2216.7739999999999</v>
      </c>
      <c r="O57" s="21">
        <f ca="1">IF(C17-B52*0.03&gt;0,C17-B52*0.03,0)</f>
        <v>426.65800000000002</v>
      </c>
      <c r="P57" s="21">
        <f ca="1">IF(195+195-(B52*0.01)&gt;0,195+195-(B52*0.01),0)</f>
        <v>177.4193333333333</v>
      </c>
      <c r="Q57" s="21">
        <f ca="1">525-(IF(C32&gt;525,525,C32))</f>
        <v>0</v>
      </c>
    </row>
    <row r="58" spans="1:18" x14ac:dyDescent="0.25">
      <c r="A58" s="35" t="s">
        <v>45</v>
      </c>
      <c r="B58" s="36">
        <f ca="1">B57/12</f>
        <v>2318.7130183333334</v>
      </c>
      <c r="F58" s="64"/>
      <c r="G58" s="46"/>
      <c r="H58" s="46"/>
      <c r="I58" s="46"/>
    </row>
    <row r="59" spans="1:18" x14ac:dyDescent="0.25">
      <c r="B59" s="38"/>
      <c r="C59" s="38"/>
      <c r="D59" s="38"/>
    </row>
    <row r="60" spans="1:18" x14ac:dyDescent="0.25">
      <c r="B60" s="38"/>
      <c r="C60" s="38"/>
      <c r="D60" s="38"/>
    </row>
    <row r="61" spans="1:18" s="28" customFormat="1" x14ac:dyDescent="0.25">
      <c r="B61" s="28" t="s">
        <v>124</v>
      </c>
      <c r="M61" s="27"/>
    </row>
    <row r="63" spans="1:18" x14ac:dyDescent="0.25">
      <c r="A63" s="21" t="s">
        <v>106</v>
      </c>
      <c r="D63" s="38">
        <f>B50</f>
        <v>25807.600000000002</v>
      </c>
    </row>
    <row r="64" spans="1:18" x14ac:dyDescent="0.25">
      <c r="A64" s="21" t="s">
        <v>107</v>
      </c>
      <c r="D64" s="38">
        <f ca="1">SUM(B53:B56)</f>
        <v>-2016.9562199999996</v>
      </c>
    </row>
    <row r="65" spans="1:9" x14ac:dyDescent="0.25">
      <c r="A65" s="21" t="s">
        <v>108</v>
      </c>
      <c r="D65" s="38">
        <f ca="1">D63-D64</f>
        <v>27824.556220000002</v>
      </c>
    </row>
    <row r="66" spans="1:9" x14ac:dyDescent="0.25">
      <c r="A66" s="21" t="s">
        <v>109</v>
      </c>
      <c r="D66" s="38">
        <f ca="1">C33</f>
        <v>15206.09666666667</v>
      </c>
    </row>
    <row r="67" spans="1:9" x14ac:dyDescent="0.25">
      <c r="A67" s="21" t="s">
        <v>110</v>
      </c>
      <c r="D67" s="38">
        <f ca="1">D65+D66</f>
        <v>43030.65288666667</v>
      </c>
    </row>
    <row r="68" spans="1:9" x14ac:dyDescent="0.25">
      <c r="A68" s="21" t="s">
        <v>111</v>
      </c>
      <c r="D68" s="38">
        <f>C20</f>
        <v>43030.540827869743</v>
      </c>
    </row>
    <row r="69" spans="1:9" x14ac:dyDescent="0.25">
      <c r="A69" s="21" t="s">
        <v>112</v>
      </c>
      <c r="D69" s="38">
        <f ca="1">D67-D68</f>
        <v>0.11205879692715826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3"/>
  <sheetViews>
    <sheetView topLeftCell="A37" workbookViewId="0">
      <selection activeCell="C11" sqref="C11"/>
    </sheetView>
  </sheetViews>
  <sheetFormatPr defaultColWidth="8.5546875" defaultRowHeight="13.2" x14ac:dyDescent="0.25"/>
  <cols>
    <col min="1" max="1" width="16.5546875" style="21" customWidth="1"/>
    <col min="2" max="2" width="9.5546875" style="21" customWidth="1"/>
    <col min="3" max="3" width="11.44140625" style="21" customWidth="1"/>
    <col min="4" max="4" width="8.5546875" style="2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17.44140625" style="21" customWidth="1"/>
    <col min="12" max="12" width="12.21875" style="21" customWidth="1"/>
    <col min="13" max="13" width="15.44140625" style="45" customWidth="1"/>
    <col min="14" max="14" width="8.5546875" style="21"/>
    <col min="15" max="15" width="8" style="21" customWidth="1"/>
    <col min="16" max="16" width="7.44140625" style="21" customWidth="1"/>
    <col min="17" max="16384" width="8.5546875" style="21"/>
  </cols>
  <sheetData>
    <row r="1" spans="1:19" ht="17.399999999999999" x14ac:dyDescent="0.3">
      <c r="A1" s="20" t="s">
        <v>138</v>
      </c>
      <c r="B1" s="20"/>
    </row>
    <row r="2" spans="1:19" s="22" customFormat="1" ht="15" customHeight="1" x14ac:dyDescent="0.3">
      <c r="C2" s="22" t="s">
        <v>115</v>
      </c>
      <c r="D2" s="23"/>
      <c r="E2" s="24"/>
      <c r="M2" s="68"/>
    </row>
    <row r="3" spans="1:19" ht="15.6" x14ac:dyDescent="0.3">
      <c r="A3" s="25"/>
      <c r="C3" s="21" t="s">
        <v>116</v>
      </c>
      <c r="D3" s="23"/>
      <c r="E3" s="24"/>
      <c r="F3" s="22"/>
      <c r="G3" s="22"/>
      <c r="H3" s="22"/>
      <c r="I3" s="22"/>
      <c r="J3" s="22"/>
    </row>
    <row r="4" spans="1:19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19" ht="15.6" x14ac:dyDescent="0.3">
      <c r="B5" s="26" t="s">
        <v>49</v>
      </c>
      <c r="M5" s="27"/>
      <c r="N5" s="28"/>
      <c r="O5" s="28"/>
      <c r="P5" s="28"/>
    </row>
    <row r="6" spans="1:19" ht="12.75" customHeight="1" x14ac:dyDescent="0.3">
      <c r="C6" s="26"/>
      <c r="J6" s="27"/>
      <c r="Q6" s="29"/>
    </row>
    <row r="7" spans="1:19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26280.799999999999</v>
      </c>
      <c r="J7" s="27"/>
      <c r="K7" s="21" t="s">
        <v>117</v>
      </c>
      <c r="N7" s="45"/>
    </row>
    <row r="8" spans="1:19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11758.856666666668</v>
      </c>
      <c r="J8" s="38"/>
      <c r="K8" s="21" t="s">
        <v>55</v>
      </c>
      <c r="L8" s="21" t="s">
        <v>56</v>
      </c>
      <c r="M8" s="21" t="s">
        <v>57</v>
      </c>
      <c r="N8" s="21" t="s">
        <v>58</v>
      </c>
      <c r="O8" s="21" t="s">
        <v>59</v>
      </c>
      <c r="P8" s="44"/>
    </row>
    <row r="9" spans="1:19" x14ac:dyDescent="0.25">
      <c r="A9" s="35" t="s">
        <v>14</v>
      </c>
      <c r="B9" s="36">
        <f>C9/12</f>
        <v>451.02094297635591</v>
      </c>
      <c r="C9" s="36">
        <f>0.912*((10983*(148/143.8))/2)*1.05</f>
        <v>5412.2513157162712</v>
      </c>
      <c r="D9" s="40">
        <f>C9/C20</f>
        <v>0.13981269085286227</v>
      </c>
      <c r="E9" s="40">
        <f>C9/B50</f>
        <v>0.20593936697955434</v>
      </c>
      <c r="F9" s="41"/>
      <c r="G9" s="38"/>
      <c r="H9" s="42" t="s">
        <v>64</v>
      </c>
      <c r="I9" s="43">
        <f ca="1">I7+I8</f>
        <v>38039.656666666669</v>
      </c>
      <c r="J9" s="27"/>
      <c r="K9" s="21">
        <v>243</v>
      </c>
      <c r="L9" s="21">
        <v>20.8</v>
      </c>
      <c r="M9" s="21">
        <f>K9*L9</f>
        <v>5054.4000000000005</v>
      </c>
      <c r="N9" s="21">
        <v>2</v>
      </c>
      <c r="O9" s="21">
        <f>N9*K9</f>
        <v>486</v>
      </c>
      <c r="P9" s="44"/>
      <c r="S9" s="29"/>
    </row>
    <row r="10" spans="1:19" x14ac:dyDescent="0.25">
      <c r="A10" s="35" t="s">
        <v>15</v>
      </c>
      <c r="B10" s="36">
        <f>C10/12</f>
        <v>122.77113128453794</v>
      </c>
      <c r="C10" s="36">
        <f>((2042*(95.4/93.5))/2)*SQRT(2)</f>
        <v>1473.2535754144553</v>
      </c>
      <c r="D10" s="40">
        <f>C10/C20</f>
        <v>3.8058015910895554E-2</v>
      </c>
      <c r="E10" s="40">
        <f>C10/B50</f>
        <v>5.6058170809657824E-2</v>
      </c>
      <c r="F10" s="41"/>
      <c r="H10" s="45"/>
      <c r="I10" s="45"/>
      <c r="J10" s="38"/>
      <c r="M10" s="21">
        <f>11.65*3.5*26</f>
        <v>1060.1499999999999</v>
      </c>
      <c r="P10" s="44"/>
      <c r="S10" s="29"/>
    </row>
    <row r="11" spans="1:19" x14ac:dyDescent="0.25">
      <c r="A11" s="35" t="s">
        <v>16</v>
      </c>
      <c r="B11" s="36">
        <f>C11/12</f>
        <v>982.79678852889663</v>
      </c>
      <c r="C11" s="36">
        <f>(900*12)+(487.63*(158.1/114.2))+(26.54*12)</f>
        <v>11793.561462346759</v>
      </c>
      <c r="D11" s="40">
        <f>C11/C20</f>
        <v>0.30465872085452106</v>
      </c>
      <c r="E11" s="40">
        <f>C11/B50</f>
        <v>0.44875199622335543</v>
      </c>
      <c r="G11" s="38"/>
      <c r="H11" s="25" t="s">
        <v>67</v>
      </c>
      <c r="I11" s="46">
        <f ca="1">B55+B56</f>
        <v>-2261.683</v>
      </c>
      <c r="J11" s="27"/>
      <c r="M11" s="21">
        <f>SUM(M8:M10)</f>
        <v>6114.55</v>
      </c>
      <c r="O11" s="29"/>
      <c r="P11" s="44"/>
      <c r="S11" s="29"/>
    </row>
    <row r="12" spans="1:19" x14ac:dyDescent="0.25">
      <c r="A12" s="35" t="s">
        <v>17</v>
      </c>
      <c r="B12" s="36">
        <f>C12/12</f>
        <v>404.92024031489535</v>
      </c>
      <c r="C12" s="36">
        <f>(4850*161.2/160.9)</f>
        <v>4859.042883778744</v>
      </c>
      <c r="D12" s="40">
        <f>C12/C20</f>
        <v>0.12552186159164899</v>
      </c>
      <c r="E12" s="40">
        <f>C12/B50</f>
        <v>0.18488945860775716</v>
      </c>
      <c r="F12" s="41"/>
      <c r="H12" s="46" t="s">
        <v>68</v>
      </c>
      <c r="I12" s="46">
        <f ca="1">C33</f>
        <v>11758.856666666668</v>
      </c>
      <c r="J12" s="29"/>
      <c r="M12" s="21"/>
      <c r="O12" s="29"/>
      <c r="P12" s="44"/>
      <c r="S12" s="29"/>
    </row>
    <row r="13" spans="1:19" x14ac:dyDescent="0.25">
      <c r="A13" s="35" t="s">
        <v>18</v>
      </c>
      <c r="B13" s="36">
        <f>C13/12</f>
        <v>432.63922399271399</v>
      </c>
      <c r="C13" s="36">
        <f>0.754*(C9+C10)</f>
        <v>5191.6706879125677</v>
      </c>
      <c r="D13" s="40">
        <f>C13/C20</f>
        <v>0.13411451289987342</v>
      </c>
      <c r="E13" s="40">
        <f>C13/B50</f>
        <v>0.19754614349306596</v>
      </c>
      <c r="H13" s="43" t="s">
        <v>70</v>
      </c>
      <c r="I13" s="43">
        <f ca="1">I11-I12</f>
        <v>-14020.539666666667</v>
      </c>
      <c r="J13" s="38"/>
      <c r="K13" s="38"/>
      <c r="O13" s="29"/>
      <c r="P13" s="44"/>
      <c r="S13" s="29"/>
    </row>
    <row r="14" spans="1:19" s="49" customFormat="1" x14ac:dyDescent="0.25">
      <c r="A14" s="37" t="s">
        <v>19</v>
      </c>
      <c r="B14" s="47">
        <f>SUM(B9:B13)</f>
        <v>2394.1483270973999</v>
      </c>
      <c r="C14" s="47">
        <f>SUM(C9:C13)</f>
        <v>28729.779925168797</v>
      </c>
      <c r="D14" s="48">
        <f>C14/C20</f>
        <v>0.74216580210980132</v>
      </c>
      <c r="E14" s="48">
        <f>C14/B50</f>
        <v>1.0931851361133906</v>
      </c>
      <c r="G14" s="43"/>
      <c r="H14" s="46" t="s">
        <v>71</v>
      </c>
      <c r="I14" s="46">
        <f>B53+B54</f>
        <v>1587.5697599999999</v>
      </c>
      <c r="J14" s="43"/>
      <c r="K14" s="43"/>
      <c r="M14" s="45"/>
      <c r="N14" s="50"/>
      <c r="O14" s="29"/>
      <c r="P14" s="44"/>
      <c r="Q14" s="21"/>
      <c r="R14" s="21"/>
      <c r="S14" s="29"/>
    </row>
    <row r="15" spans="1:19" x14ac:dyDescent="0.25">
      <c r="A15" s="35" t="s">
        <v>20</v>
      </c>
      <c r="B15" s="36">
        <f>C15/12</f>
        <v>509.54583333333335</v>
      </c>
      <c r="C15" s="36">
        <f>M11</f>
        <v>6114.55</v>
      </c>
      <c r="D15" s="40">
        <f>C15/C20</f>
        <v>0.15795491358132369</v>
      </c>
      <c r="E15" s="40">
        <f>C15/B50</f>
        <v>0.23266224772457461</v>
      </c>
      <c r="G15" s="38"/>
      <c r="H15" s="49" t="s">
        <v>72</v>
      </c>
      <c r="I15" s="43">
        <f ca="1">I13+I14</f>
        <v>-12432.969906666667</v>
      </c>
      <c r="J15" s="38"/>
      <c r="K15" s="38"/>
      <c r="O15" s="29"/>
      <c r="P15" s="44"/>
      <c r="Q15" s="49"/>
      <c r="S15" s="29"/>
    </row>
    <row r="16" spans="1:19" x14ac:dyDescent="0.25">
      <c r="A16" s="3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O16" s="29"/>
      <c r="P16" s="44"/>
      <c r="S16" s="29"/>
    </row>
    <row r="17" spans="1:19" x14ac:dyDescent="0.25">
      <c r="A17" s="35" t="s">
        <v>22</v>
      </c>
      <c r="B17" s="36">
        <f>C17/12</f>
        <v>88.7</v>
      </c>
      <c r="C17" s="36">
        <f>(68.25+20.45)*12</f>
        <v>1064.4000000000001</v>
      </c>
      <c r="D17" s="40">
        <f>C17/C20</f>
        <v>2.7496252384224668E-2</v>
      </c>
      <c r="E17" s="40">
        <f>C17/B50</f>
        <v>4.0501050196341058E-2</v>
      </c>
      <c r="G17" s="38"/>
      <c r="H17" s="38"/>
      <c r="I17" s="38"/>
      <c r="J17" s="38"/>
      <c r="K17" s="38"/>
      <c r="O17" s="29"/>
      <c r="P17" s="44"/>
      <c r="S17" s="29"/>
    </row>
    <row r="18" spans="1:19" x14ac:dyDescent="0.25">
      <c r="A18" s="35" t="s">
        <v>23</v>
      </c>
      <c r="B18" s="36">
        <f>C18/12</f>
        <v>149.26666666666668</v>
      </c>
      <c r="C18" s="36">
        <v>1791.2</v>
      </c>
      <c r="D18" s="40">
        <f>C18/C20</f>
        <v>4.6271408559397993E-2</v>
      </c>
      <c r="E18" s="40">
        <f>C18/B50</f>
        <v>6.8156220510791149E-2</v>
      </c>
      <c r="G18" s="38"/>
      <c r="H18" s="38"/>
      <c r="I18" s="38"/>
      <c r="J18" s="38"/>
      <c r="K18" s="38"/>
      <c r="O18" s="29"/>
      <c r="P18" s="44"/>
      <c r="S18" s="29"/>
    </row>
    <row r="19" spans="1:19" x14ac:dyDescent="0.25">
      <c r="A19" s="35" t="s">
        <v>24</v>
      </c>
      <c r="B19" s="36">
        <f>C19/12</f>
        <v>84.233333333333334</v>
      </c>
      <c r="C19" s="36">
        <f>B47*B48*2</f>
        <v>1010.8</v>
      </c>
      <c r="D19" s="40">
        <f>C19/C20</f>
        <v>2.6111623365252058E-2</v>
      </c>
      <c r="E19" s="40">
        <f>C19/B50</f>
        <v>3.8461538461538464E-2</v>
      </c>
      <c r="G19" s="38"/>
      <c r="H19" s="38"/>
      <c r="I19" s="38"/>
      <c r="J19" s="38"/>
      <c r="K19" s="38"/>
      <c r="O19" s="29"/>
      <c r="P19" s="44"/>
      <c r="S19" s="29"/>
    </row>
    <row r="20" spans="1:19" x14ac:dyDescent="0.25">
      <c r="A20" s="35" t="s">
        <v>25</v>
      </c>
      <c r="B20" s="36">
        <f>SUM(B9:B19)-B14</f>
        <v>3225.8941604307333</v>
      </c>
      <c r="C20" s="36">
        <f>SUM(C9:C19)-C14</f>
        <v>38710.729925168809</v>
      </c>
      <c r="D20" s="40">
        <f>C20/C20</f>
        <v>1</v>
      </c>
      <c r="E20" s="40">
        <f>SUM(E9:E18)-E14</f>
        <v>1.4345046545450975</v>
      </c>
      <c r="G20" s="38"/>
      <c r="H20" s="38"/>
      <c r="I20" s="29"/>
      <c r="J20" s="38"/>
      <c r="K20" s="38"/>
      <c r="O20" s="29"/>
      <c r="P20" s="44"/>
      <c r="S20" s="29"/>
    </row>
    <row r="21" spans="1:19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O21" s="29"/>
      <c r="P21" s="44"/>
      <c r="S21" s="29"/>
    </row>
    <row r="22" spans="1:19" x14ac:dyDescent="0.25">
      <c r="B22" s="38"/>
      <c r="C22" s="38"/>
      <c r="O22" s="29"/>
      <c r="P22" s="44"/>
      <c r="S22" s="29"/>
    </row>
    <row r="23" spans="1:19" ht="15.6" x14ac:dyDescent="0.3">
      <c r="B23" s="26" t="s">
        <v>73</v>
      </c>
      <c r="O23" s="29"/>
      <c r="P23" s="44"/>
      <c r="S23" s="29"/>
    </row>
    <row r="24" spans="1:19" ht="12.75" customHeight="1" x14ac:dyDescent="0.3">
      <c r="C24" s="26"/>
      <c r="O24" s="29"/>
      <c r="P24" s="44"/>
      <c r="S24" s="29"/>
    </row>
    <row r="25" spans="1:19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O25" s="29"/>
      <c r="P25" s="44"/>
    </row>
    <row r="26" spans="1:19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O26" s="29"/>
      <c r="P26" s="44"/>
    </row>
    <row r="27" spans="1:19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O27" s="29"/>
      <c r="P27" s="44"/>
    </row>
    <row r="28" spans="1:19" x14ac:dyDescent="0.25">
      <c r="A28" s="35" t="s">
        <v>27</v>
      </c>
      <c r="B28" s="57">
        <f ca="1">C28/12</f>
        <v>553.25</v>
      </c>
      <c r="C28" s="36">
        <f ca="1">MAX(0,E28)</f>
        <v>6639</v>
      </c>
      <c r="E28" s="58">
        <f ca="1">IF(B52&lt;F28,(6639),IF(B52&lt;G28,(6639-(B52-F28)*0.07),(6639-(G28-F28)*0.07-(B52-G28)*0.032-2541)))</f>
        <v>6639</v>
      </c>
      <c r="F28" s="59">
        <v>31120</v>
      </c>
      <c r="G28" s="59">
        <v>67426</v>
      </c>
      <c r="H28" s="60">
        <f>(6400+5400-(G28-F28)*0.135)/0.057+G28</f>
        <v>188455.64912280702</v>
      </c>
      <c r="K28" s="25"/>
      <c r="O28" s="29"/>
      <c r="P28" s="44"/>
    </row>
    <row r="29" spans="1:19" x14ac:dyDescent="0.25">
      <c r="A29" s="35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O29" s="29"/>
      <c r="P29" s="44"/>
    </row>
    <row r="30" spans="1:19" x14ac:dyDescent="0.25">
      <c r="A30" s="35" t="s">
        <v>28</v>
      </c>
      <c r="B30" s="36">
        <f ca="1">(C30)/12</f>
        <v>61.083333333333336</v>
      </c>
      <c r="C30" s="36">
        <f ca="1">G30</f>
        <v>733</v>
      </c>
      <c r="D30" s="25"/>
      <c r="E30" s="46">
        <f>290+290+153</f>
        <v>733</v>
      </c>
      <c r="F30" s="25">
        <f ca="1">IF((B52-37789)*0.05&gt;0,(B52-37789)*0.05,0)</f>
        <v>0</v>
      </c>
      <c r="G30" s="46">
        <f ca="1">IF(E30&gt;F30,E30-F30,0)</f>
        <v>733</v>
      </c>
      <c r="H30" s="38"/>
      <c r="I30" s="38"/>
      <c r="K30" s="25"/>
      <c r="O30" s="29"/>
    </row>
    <row r="31" spans="1:19" x14ac:dyDescent="0.25">
      <c r="A31" s="35" t="s">
        <v>29</v>
      </c>
      <c r="B31" s="36">
        <f ca="1">C31/12</f>
        <v>12.468055555555642</v>
      </c>
      <c r="C31" s="36">
        <f ca="1">IF(C15&gt;F34,C15-F34,0)</f>
        <v>149.61666666666588</v>
      </c>
      <c r="D31" s="46"/>
      <c r="E31" s="21" t="s">
        <v>137</v>
      </c>
      <c r="H31" s="38"/>
      <c r="J31" s="38"/>
      <c r="K31" s="25"/>
    </row>
    <row r="32" spans="1:19" x14ac:dyDescent="0.25">
      <c r="A32" s="35" t="s">
        <v>82</v>
      </c>
      <c r="B32" s="36">
        <f ca="1">E32</f>
        <v>353.1033333333333</v>
      </c>
      <c r="C32" s="36">
        <f ca="1">E32*12</f>
        <v>4237.24</v>
      </c>
      <c r="D32" s="46"/>
      <c r="E32" s="46">
        <f ca="1">IF(B52&lt;35840,(0.75*1148-B52*0.3/12),0)</f>
        <v>353.1033333333333</v>
      </c>
      <c r="H32" s="38"/>
      <c r="J32" s="38"/>
      <c r="K32" s="25"/>
    </row>
    <row r="33" spans="1:15" x14ac:dyDescent="0.25">
      <c r="A33" s="35" t="s">
        <v>25</v>
      </c>
      <c r="B33" s="36">
        <f ca="1">SUM(B26:B32)</f>
        <v>979.90472222222229</v>
      </c>
      <c r="C33" s="36">
        <f ca="1">SUM(C26:C32)</f>
        <v>11758.856666666667</v>
      </c>
      <c r="E33" s="52" t="s">
        <v>83</v>
      </c>
      <c r="F33" s="52" t="s">
        <v>84</v>
      </c>
      <c r="G33" s="52"/>
      <c r="H33" s="38"/>
      <c r="I33" s="38"/>
      <c r="M33" s="27"/>
      <c r="N33" s="28"/>
      <c r="O33" s="61"/>
    </row>
    <row r="34" spans="1:15" x14ac:dyDescent="0.25">
      <c r="B34" s="38"/>
      <c r="C34" s="38"/>
      <c r="E34" s="21">
        <f>10982+5438</f>
        <v>16420</v>
      </c>
      <c r="F34" s="38">
        <f ca="1">IF(IF((B52-E34+5356)&lt;0,(B52-E34)*0.25,(B52-E34+5356)*0.5+1339)&gt;0,IF((B52-E34+5356)&lt;0,(B52-E34)*0.25,(B52-E34+5356)*0.5+1339),0)</f>
        <v>5964.9333333333343</v>
      </c>
      <c r="H34" s="38"/>
      <c r="I34" s="38"/>
    </row>
    <row r="35" spans="1:15" x14ac:dyDescent="0.25">
      <c r="B35" s="38"/>
      <c r="C35" s="38"/>
    </row>
    <row r="36" spans="1:15" ht="15.6" x14ac:dyDescent="0.3">
      <c r="B36" s="26" t="s">
        <v>85</v>
      </c>
    </row>
    <row r="37" spans="1:15" ht="12.75" customHeight="1" x14ac:dyDescent="0.25">
      <c r="A37" s="22"/>
    </row>
    <row r="38" spans="1:15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5" x14ac:dyDescent="0.25">
      <c r="A39" s="35" t="s">
        <v>31</v>
      </c>
      <c r="B39" s="36"/>
      <c r="C39" s="36">
        <f ca="1">C33+B57</f>
        <v>38713.769906666668</v>
      </c>
      <c r="E39" s="52"/>
      <c r="F39" s="52"/>
      <c r="G39" s="52"/>
      <c r="H39" s="53"/>
      <c r="I39" s="53"/>
    </row>
    <row r="40" spans="1:15" x14ac:dyDescent="0.25">
      <c r="A40" s="35" t="s">
        <v>120</v>
      </c>
      <c r="B40" s="36"/>
      <c r="C40" s="36">
        <f>C20</f>
        <v>38710.729925168809</v>
      </c>
      <c r="E40" s="52"/>
      <c r="F40" s="52"/>
      <c r="G40" s="52"/>
      <c r="H40" s="70"/>
      <c r="I40" s="53"/>
    </row>
    <row r="41" spans="1:15" x14ac:dyDescent="0.25">
      <c r="A41" s="35" t="s">
        <v>33</v>
      </c>
      <c r="B41" s="36"/>
      <c r="C41" s="36">
        <f ca="1">C39-C40</f>
        <v>3.0399814978591166</v>
      </c>
      <c r="E41" s="38"/>
      <c r="H41" s="38"/>
      <c r="I41" s="38"/>
    </row>
    <row r="42" spans="1:15" x14ac:dyDescent="0.25">
      <c r="B42" s="38"/>
      <c r="C42" s="38"/>
      <c r="H42" s="38"/>
      <c r="I42" s="38"/>
    </row>
    <row r="43" spans="1:15" x14ac:dyDescent="0.25">
      <c r="B43" s="38"/>
      <c r="C43" s="38"/>
      <c r="E43" s="38"/>
      <c r="H43" s="38"/>
      <c r="I43" s="38"/>
    </row>
    <row r="44" spans="1:15" ht="15.6" x14ac:dyDescent="0.3">
      <c r="A44" s="63" t="s">
        <v>121</v>
      </c>
    </row>
    <row r="45" spans="1:15" x14ac:dyDescent="0.25">
      <c r="B45" s="27"/>
    </row>
    <row r="46" spans="1:15" s="45" customFormat="1" x14ac:dyDescent="0.25">
      <c r="A46" s="31"/>
      <c r="B46" s="71" t="s">
        <v>34</v>
      </c>
      <c r="C46" s="27"/>
      <c r="D46" s="27"/>
    </row>
    <row r="47" spans="1:15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5" x14ac:dyDescent="0.25">
      <c r="A48" s="35" t="s">
        <v>36</v>
      </c>
      <c r="B48" s="72">
        <v>14.44</v>
      </c>
      <c r="E48" s="45"/>
      <c r="F48" s="45"/>
      <c r="G48" s="45"/>
      <c r="H48" s="45"/>
      <c r="I48" s="45"/>
    </row>
    <row r="49" spans="1:17" ht="3.75" customHeight="1" x14ac:dyDescent="0.25">
      <c r="A49" s="30"/>
      <c r="B49" s="30"/>
      <c r="E49" s="45"/>
      <c r="F49" s="45"/>
      <c r="G49" s="45"/>
      <c r="H49" s="45"/>
      <c r="I49" s="45"/>
    </row>
    <row r="50" spans="1:17" x14ac:dyDescent="0.25">
      <c r="A50" s="35" t="s">
        <v>122</v>
      </c>
      <c r="B50" s="36">
        <f>B48*B47*52</f>
        <v>26280.799999999999</v>
      </c>
      <c r="E50" s="45"/>
      <c r="F50" s="52" t="s">
        <v>88</v>
      </c>
      <c r="I50" s="38"/>
      <c r="K50" s="52" t="s">
        <v>88</v>
      </c>
      <c r="M50" s="21"/>
    </row>
    <row r="51" spans="1:17" x14ac:dyDescent="0.25">
      <c r="A51" s="35" t="s">
        <v>38</v>
      </c>
      <c r="B51" s="36">
        <f ca="1">-C15+C31</f>
        <v>-5964.9333333333343</v>
      </c>
      <c r="E51" s="45"/>
      <c r="F51" s="52" t="s">
        <v>89</v>
      </c>
      <c r="G51" s="52" t="s">
        <v>90</v>
      </c>
      <c r="H51" s="52" t="s">
        <v>91</v>
      </c>
      <c r="I51" s="52" t="s">
        <v>92</v>
      </c>
      <c r="K51" s="52" t="s">
        <v>89</v>
      </c>
      <c r="L51" s="52" t="s">
        <v>123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</row>
    <row r="52" spans="1:17" x14ac:dyDescent="0.25">
      <c r="A52" s="35" t="s">
        <v>39</v>
      </c>
      <c r="B52" s="36">
        <f ca="1">B50+B51</f>
        <v>20315.866666666665</v>
      </c>
      <c r="E52" s="45"/>
      <c r="F52" s="64">
        <v>1</v>
      </c>
      <c r="G52" s="46">
        <f ca="1">B52*0.15</f>
        <v>3047.3799999999997</v>
      </c>
      <c r="H52" s="46">
        <f ca="1">(L52+B53+B54+M52+N52)*0.15</f>
        <v>4110.3740639999996</v>
      </c>
      <c r="I52" s="46">
        <f ca="1">IF(O52&gt;0, O52,0)+P52+Q52</f>
        <v>2074.8416666666667</v>
      </c>
      <c r="K52" s="21">
        <v>1</v>
      </c>
      <c r="L52" s="38">
        <f>12069+12069</f>
        <v>24138</v>
      </c>
      <c r="M52" s="38">
        <v>1222</v>
      </c>
      <c r="N52" s="21">
        <f ca="1">IF(C17-B52*0.03&gt;0,C17-B52*0.03,0)</f>
        <v>454.92400000000021</v>
      </c>
      <c r="O52" s="21">
        <f>IF((B50-3000)*0.26&lt;2335,(B50-3000)*0.26,2335)-IF(B50-17025&gt;0,B50-17025,0)*0.12</f>
        <v>1224.3040000000001</v>
      </c>
      <c r="P52" s="21">
        <f ca="1">IF((0.25*N52 - 0.05*(B52-27044))&gt;0,(0.25*N52 - 0.05*(B52-27044)),0)</f>
        <v>450.1376666666668</v>
      </c>
      <c r="Q52" s="21">
        <f>243+121+(243+121)*0.1</f>
        <v>400.4</v>
      </c>
    </row>
    <row r="53" spans="1:17" x14ac:dyDescent="0.25">
      <c r="A53" s="35" t="s">
        <v>40</v>
      </c>
      <c r="B53" s="36">
        <f>B50*0.0162</f>
        <v>425.74895999999995</v>
      </c>
      <c r="E53" s="45"/>
      <c r="F53" s="64"/>
      <c r="G53" s="46"/>
      <c r="H53" s="46"/>
      <c r="I53" s="38"/>
    </row>
    <row r="54" spans="1:17" x14ac:dyDescent="0.25">
      <c r="A54" s="35" t="s">
        <v>41</v>
      </c>
      <c r="B54" s="36">
        <f>IF(((B50-3500)*0.051)&lt;2748.9,(B50-3500)*0.051,2748.9)</f>
        <v>1161.8208</v>
      </c>
      <c r="C54" s="45"/>
      <c r="E54" s="45"/>
    </row>
    <row r="55" spans="1:17" x14ac:dyDescent="0.25">
      <c r="A55" s="35" t="s">
        <v>42</v>
      </c>
      <c r="B55" s="36">
        <f ca="1">IF(G52-H52&lt;0,0,G52-H52)-I52</f>
        <v>-2074.8416666666667</v>
      </c>
      <c r="C55" s="45"/>
      <c r="E55" s="45"/>
      <c r="F55" s="52" t="s">
        <v>99</v>
      </c>
      <c r="I55" s="38"/>
      <c r="K55" s="52" t="s">
        <v>99</v>
      </c>
      <c r="M55" s="21"/>
    </row>
    <row r="56" spans="1:17" x14ac:dyDescent="0.25">
      <c r="A56" s="35" t="s">
        <v>43</v>
      </c>
      <c r="B56" s="36">
        <f ca="1">IF(G57-H57&lt;0,0,G57-H57)-I57</f>
        <v>-186.8413333333333</v>
      </c>
      <c r="C56" s="38"/>
      <c r="E56" s="46"/>
      <c r="F56" s="52" t="s">
        <v>89</v>
      </c>
      <c r="G56" s="52" t="s">
        <v>90</v>
      </c>
      <c r="H56" s="52" t="s">
        <v>91</v>
      </c>
      <c r="I56" s="52" t="s">
        <v>100</v>
      </c>
      <c r="K56" s="52" t="s">
        <v>89</v>
      </c>
      <c r="L56" s="52" t="s">
        <v>123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7" x14ac:dyDescent="0.25">
      <c r="A57" s="35" t="s">
        <v>44</v>
      </c>
      <c r="B57" s="36">
        <f ca="1">B50-SUM(B53:B56)</f>
        <v>26954.913239999998</v>
      </c>
      <c r="E57" s="38"/>
      <c r="F57" s="64">
        <v>1</v>
      </c>
      <c r="G57" s="46">
        <f ca="1">IF(B52&lt;33389,B52*0.108,(B52-33389)*0.1275+(33389*0.108))</f>
        <v>2194.1135999999997</v>
      </c>
      <c r="H57" s="46">
        <f ca="1">(L57+B53+B54+M57+N57+O57)*0.108</f>
        <v>2759.9687020800002</v>
      </c>
      <c r="I57" s="46">
        <f ca="1">P57+Q57</f>
        <v>186.8413333333333</v>
      </c>
      <c r="K57" s="21">
        <v>1</v>
      </c>
      <c r="L57" s="21">
        <f>9626+9134</f>
        <v>18760</v>
      </c>
      <c r="M57" s="73">
        <f>1491.2+120*8</f>
        <v>2451.1999999999998</v>
      </c>
      <c r="N57" s="21">
        <f ca="1">IF(2065*2-B52*0.09&gt;0,2065*2-B52*0.09,0)</f>
        <v>2301.5720000000001</v>
      </c>
      <c r="O57" s="21">
        <f ca="1">IF(C17-B52*0.03&gt;0,C17-B52*0.03,0)</f>
        <v>454.92400000000021</v>
      </c>
      <c r="P57" s="21">
        <f ca="1">IF(195+195-(B52*0.01)&gt;0,195+195-(B52*0.01),0)</f>
        <v>186.84133333333335</v>
      </c>
      <c r="Q57" s="21">
        <f ca="1">700-(IF(C32&gt;700,700,C32))</f>
        <v>0</v>
      </c>
    </row>
    <row r="58" spans="1:17" x14ac:dyDescent="0.25">
      <c r="A58" s="35" t="s">
        <v>45</v>
      </c>
      <c r="B58" s="36">
        <f ca="1">B57/12</f>
        <v>2246.2427699999998</v>
      </c>
      <c r="F58" s="64"/>
      <c r="G58" s="46"/>
      <c r="H58" s="46"/>
      <c r="I58" s="46"/>
    </row>
    <row r="59" spans="1:17" x14ac:dyDescent="0.25">
      <c r="B59" s="38"/>
      <c r="C59" s="38"/>
      <c r="D59" s="38"/>
    </row>
    <row r="60" spans="1:17" x14ac:dyDescent="0.25">
      <c r="B60" s="38"/>
      <c r="C60" s="38"/>
      <c r="D60" s="38"/>
    </row>
    <row r="61" spans="1:17" s="28" customFormat="1" x14ac:dyDescent="0.25">
      <c r="B61" s="28" t="s">
        <v>124</v>
      </c>
      <c r="M61" s="27"/>
    </row>
    <row r="63" spans="1:17" x14ac:dyDescent="0.25">
      <c r="A63" s="21" t="s">
        <v>106</v>
      </c>
      <c r="D63" s="38">
        <f>B50</f>
        <v>26280.799999999999</v>
      </c>
    </row>
    <row r="64" spans="1:17" x14ac:dyDescent="0.25">
      <c r="A64" s="21" t="s">
        <v>107</v>
      </c>
      <c r="D64" s="38">
        <f ca="1">SUM(B53:B56)</f>
        <v>-674.11324000000013</v>
      </c>
    </row>
    <row r="65" spans="1:9" x14ac:dyDescent="0.25">
      <c r="A65" s="21" t="s">
        <v>108</v>
      </c>
      <c r="D65" s="38">
        <f ca="1">D63-D64</f>
        <v>26954.913239999998</v>
      </c>
    </row>
    <row r="66" spans="1:9" x14ac:dyDescent="0.25">
      <c r="A66" s="21" t="s">
        <v>109</v>
      </c>
      <c r="D66" s="38">
        <f ca="1">C33</f>
        <v>11758.856666666667</v>
      </c>
    </row>
    <row r="67" spans="1:9" x14ac:dyDescent="0.25">
      <c r="A67" s="21" t="s">
        <v>110</v>
      </c>
      <c r="D67" s="38">
        <f ca="1">D65+D66</f>
        <v>38713.769906666668</v>
      </c>
    </row>
    <row r="68" spans="1:9" x14ac:dyDescent="0.25">
      <c r="A68" s="21" t="s">
        <v>111</v>
      </c>
      <c r="D68" s="38">
        <f>C20</f>
        <v>38710.729925168809</v>
      </c>
    </row>
    <row r="69" spans="1:9" x14ac:dyDescent="0.25">
      <c r="A69" s="21" t="s">
        <v>112</v>
      </c>
      <c r="D69" s="38">
        <f ca="1">D67-D68</f>
        <v>3.0399814978591166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EF98-7D61-4B40-9D25-79B9AFE2FC3C}">
  <sheetPr>
    <tabColor rgb="FFFFC000"/>
  </sheetPr>
  <dimension ref="A1:S113"/>
  <sheetViews>
    <sheetView topLeftCell="A31" zoomScale="75" zoomScaleNormal="75" workbookViewId="0">
      <selection activeCell="Q52" sqref="Q52"/>
    </sheetView>
  </sheetViews>
  <sheetFormatPr defaultColWidth="8.5546875" defaultRowHeight="13.2" x14ac:dyDescent="0.25"/>
  <cols>
    <col min="1" max="1" width="16.5546875" style="21" customWidth="1"/>
    <col min="2" max="2" width="9.5546875" style="21" customWidth="1"/>
    <col min="3" max="3" width="11.44140625" style="21" customWidth="1"/>
    <col min="4" max="4" width="8.5546875" style="2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17.44140625" style="21" customWidth="1"/>
    <col min="12" max="12" width="12.21875" style="21" customWidth="1"/>
    <col min="13" max="13" width="15.44140625" style="45" customWidth="1"/>
    <col min="14" max="14" width="8.5546875" style="21"/>
    <col min="15" max="15" width="8" style="21" customWidth="1"/>
    <col min="16" max="16" width="7.44140625" style="21" customWidth="1"/>
    <col min="17" max="16384" width="8.5546875" style="21"/>
  </cols>
  <sheetData>
    <row r="1" spans="1:19" ht="17.399999999999999" x14ac:dyDescent="0.3">
      <c r="A1" s="20" t="s">
        <v>136</v>
      </c>
      <c r="B1" s="20"/>
    </row>
    <row r="2" spans="1:19" s="22" customFormat="1" ht="15" customHeight="1" x14ac:dyDescent="0.3">
      <c r="C2" s="22" t="s">
        <v>126</v>
      </c>
      <c r="D2" s="23"/>
      <c r="E2" s="24"/>
      <c r="M2" s="68"/>
    </row>
    <row r="3" spans="1:19" ht="15.6" x14ac:dyDescent="0.3">
      <c r="A3" s="25"/>
      <c r="C3" s="21" t="s">
        <v>139</v>
      </c>
      <c r="D3" s="23"/>
      <c r="E3" s="24"/>
      <c r="F3" s="22"/>
      <c r="G3" s="22"/>
      <c r="H3" s="22"/>
      <c r="I3" s="22"/>
      <c r="J3" s="22"/>
    </row>
    <row r="4" spans="1:19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19" ht="15.6" x14ac:dyDescent="0.3">
      <c r="B5" s="26" t="s">
        <v>49</v>
      </c>
      <c r="M5" s="27"/>
      <c r="N5" s="28"/>
      <c r="O5" s="28"/>
      <c r="P5" s="28"/>
    </row>
    <row r="6" spans="1:19" ht="12.75" customHeight="1" x14ac:dyDescent="0.3">
      <c r="C6" s="26"/>
      <c r="J6" s="27"/>
      <c r="Q6" s="29"/>
    </row>
    <row r="7" spans="1:19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27427.4</v>
      </c>
      <c r="J7" s="27"/>
      <c r="N7" s="45"/>
    </row>
    <row r="8" spans="1:19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299</v>
      </c>
      <c r="J8" s="38"/>
      <c r="M8" s="21"/>
      <c r="P8" s="44"/>
    </row>
    <row r="9" spans="1:19" x14ac:dyDescent="0.25">
      <c r="A9" s="205" t="s">
        <v>14</v>
      </c>
      <c r="B9" s="36">
        <f>C9/12</f>
        <v>295.34155069582499</v>
      </c>
      <c r="C9" s="36">
        <f>((11606*(153.6/150.9))/4)*1.2</f>
        <v>3544.0986083499001</v>
      </c>
      <c r="D9" s="40">
        <f>C9/C20</f>
        <v>0.14233938194539061</v>
      </c>
      <c r="E9" s="40">
        <f>C9/B50</f>
        <v>0.12921744709122629</v>
      </c>
      <c r="F9" s="41"/>
      <c r="G9" s="38"/>
      <c r="H9" s="42" t="s">
        <v>64</v>
      </c>
      <c r="I9" s="43">
        <f ca="1">I7+I8</f>
        <v>27726.400000000001</v>
      </c>
      <c r="J9" s="27"/>
      <c r="M9" s="21"/>
      <c r="P9" s="44"/>
      <c r="S9" s="29"/>
    </row>
    <row r="10" spans="1:19" x14ac:dyDescent="0.25">
      <c r="A10" s="205" t="s">
        <v>15</v>
      </c>
      <c r="B10" s="36">
        <f>C10/12</f>
        <v>85.265329768270945</v>
      </c>
      <c r="C10" s="36">
        <f>((2042*(93.7/93.5))/2)*SQRT(1)</f>
        <v>1023.1839572192514</v>
      </c>
      <c r="D10" s="40">
        <f>C10/C20</f>
        <v>4.1093487563777349E-2</v>
      </c>
      <c r="E10" s="40">
        <f>C10/B50</f>
        <v>3.7305175015468157E-2</v>
      </c>
      <c r="F10" s="41"/>
      <c r="H10" s="45"/>
      <c r="I10" s="45"/>
      <c r="J10" s="38"/>
      <c r="M10" s="21"/>
      <c r="P10" s="44"/>
      <c r="S10" s="29"/>
    </row>
    <row r="11" spans="1:19" x14ac:dyDescent="0.25">
      <c r="A11" s="205" t="s">
        <v>16</v>
      </c>
      <c r="B11" s="36">
        <f>C11/12</f>
        <v>799.14268972562752</v>
      </c>
      <c r="C11" s="36">
        <f>(716*12)+(487.63*(163.4/114.2))+(25*12)</f>
        <v>9589.7122767075307</v>
      </c>
      <c r="D11" s="40">
        <f>C11/C20</f>
        <v>0.38514552481264147</v>
      </c>
      <c r="E11" s="40">
        <f>C11/B50</f>
        <v>0.34963985929061925</v>
      </c>
      <c r="G11" s="38"/>
      <c r="H11" s="25" t="s">
        <v>67</v>
      </c>
      <c r="I11" s="46">
        <f ca="1">B55+B56</f>
        <v>1082.1493152400003</v>
      </c>
      <c r="J11" s="27"/>
      <c r="M11" s="21"/>
      <c r="O11" s="29"/>
      <c r="P11" s="44"/>
      <c r="S11" s="29"/>
    </row>
    <row r="12" spans="1:19" x14ac:dyDescent="0.25">
      <c r="A12" s="205" t="s">
        <v>17</v>
      </c>
      <c r="B12" s="36">
        <f>C12/12</f>
        <v>102</v>
      </c>
      <c r="C12" s="36">
        <f>(86+16)*12</f>
        <v>1224</v>
      </c>
      <c r="D12" s="40">
        <f>C12/C20</f>
        <v>4.915873477410803E-2</v>
      </c>
      <c r="E12" s="40">
        <f>C12/B50</f>
        <v>4.462690594077455E-2</v>
      </c>
      <c r="F12" s="41"/>
      <c r="H12" s="46" t="s">
        <v>68</v>
      </c>
      <c r="I12" s="46">
        <f ca="1">C33</f>
        <v>299</v>
      </c>
      <c r="J12" s="29"/>
      <c r="M12" s="21"/>
      <c r="O12" s="29"/>
      <c r="P12" s="44"/>
      <c r="S12" s="29"/>
    </row>
    <row r="13" spans="1:19" x14ac:dyDescent="0.25">
      <c r="A13" s="205" t="s">
        <v>18</v>
      </c>
      <c r="B13" s="36">
        <f>C13/12</f>
        <v>477.98060606060608</v>
      </c>
      <c r="C13" s="36">
        <f>11108*(142/137.5)/2*SQRT(1)</f>
        <v>5735.7672727272729</v>
      </c>
      <c r="D13" s="40">
        <f>C13/C20</f>
        <v>0.23036197882843867</v>
      </c>
      <c r="E13" s="40">
        <f>C13/B50</f>
        <v>0.20912544655079493</v>
      </c>
      <c r="H13" s="43" t="s">
        <v>70</v>
      </c>
      <c r="I13" s="43">
        <f ca="1">I11-I12</f>
        <v>783.14931524000031</v>
      </c>
      <c r="J13" s="38"/>
      <c r="K13" s="38"/>
      <c r="O13" s="29"/>
      <c r="P13" s="44"/>
      <c r="S13" s="29"/>
    </row>
    <row r="14" spans="1:19" s="49" customFormat="1" x14ac:dyDescent="0.25">
      <c r="A14" s="37" t="s">
        <v>19</v>
      </c>
      <c r="B14" s="47">
        <f>SUM(B9:B13)</f>
        <v>1759.7301762503296</v>
      </c>
      <c r="C14" s="47">
        <f>SUM(C9:C13)</f>
        <v>21116.762115003956</v>
      </c>
      <c r="D14" s="48">
        <f>C14/C20</f>
        <v>0.84809910792435617</v>
      </c>
      <c r="E14" s="48">
        <f>C14/B50</f>
        <v>0.76991483388888315</v>
      </c>
      <c r="G14" s="43"/>
      <c r="H14" s="46" t="s">
        <v>71</v>
      </c>
      <c r="I14" s="46">
        <f>B53+B54</f>
        <v>1737.3962200000001</v>
      </c>
      <c r="J14" s="43"/>
      <c r="K14" s="43"/>
      <c r="M14" s="45"/>
      <c r="N14" s="50"/>
      <c r="O14" s="29"/>
      <c r="P14" s="44"/>
      <c r="Q14" s="21"/>
      <c r="R14" s="21"/>
      <c r="S14" s="29"/>
    </row>
    <row r="15" spans="1:19" x14ac:dyDescent="0.25">
      <c r="A15" s="205" t="s">
        <v>20</v>
      </c>
      <c r="B15" s="36">
        <f>C15/12</f>
        <v>0</v>
      </c>
      <c r="C15" s="36">
        <f>M11</f>
        <v>0</v>
      </c>
      <c r="D15" s="40">
        <f>C15/C20</f>
        <v>0</v>
      </c>
      <c r="E15" s="40">
        <f>C15/B50</f>
        <v>0</v>
      </c>
      <c r="G15" s="38"/>
      <c r="H15" s="49" t="s">
        <v>72</v>
      </c>
      <c r="I15" s="43">
        <f ca="1">I13+I14</f>
        <v>2520.5455352400004</v>
      </c>
      <c r="J15" s="38"/>
      <c r="K15" s="38"/>
      <c r="O15" s="29"/>
      <c r="P15" s="44"/>
      <c r="Q15" s="49"/>
      <c r="S15" s="29"/>
    </row>
    <row r="16" spans="1:19" x14ac:dyDescent="0.25">
      <c r="A16" s="20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O16" s="29"/>
      <c r="P16" s="44"/>
      <c r="S16" s="29"/>
    </row>
    <row r="17" spans="1:19" x14ac:dyDescent="0.25">
      <c r="A17" s="205" t="s">
        <v>22</v>
      </c>
      <c r="B17" s="36">
        <f>C17/12</f>
        <v>68.25</v>
      </c>
      <c r="C17" s="36">
        <f>(68.25)*12</f>
        <v>819</v>
      </c>
      <c r="D17" s="40">
        <f>C17/C20</f>
        <v>3.2892976944439926E-2</v>
      </c>
      <c r="E17" s="40">
        <f>C17/B50</f>
        <v>2.9860650298606503E-2</v>
      </c>
      <c r="G17" s="38"/>
      <c r="H17" s="38"/>
      <c r="I17" s="38"/>
      <c r="J17" s="38"/>
      <c r="K17" s="38"/>
      <c r="O17" s="29"/>
      <c r="P17" s="44"/>
      <c r="S17" s="29"/>
    </row>
    <row r="18" spans="1:19" x14ac:dyDescent="0.25">
      <c r="A18" s="205" t="s">
        <v>23</v>
      </c>
      <c r="B18" s="36">
        <f>C18/12</f>
        <v>159.02250000000001</v>
      </c>
      <c r="C18" s="36">
        <v>1908.27</v>
      </c>
      <c r="D18" s="40">
        <f>C18/C20</f>
        <v>7.664063628054503E-2</v>
      </c>
      <c r="E18" s="40">
        <f>C18/B50</f>
        <v>6.9575315195753148E-2</v>
      </c>
      <c r="G18" s="38"/>
      <c r="H18" s="38"/>
      <c r="I18" s="38"/>
      <c r="J18" s="38"/>
      <c r="K18" s="38"/>
      <c r="O18" s="29"/>
      <c r="P18" s="44"/>
      <c r="S18" s="29"/>
    </row>
    <row r="19" spans="1:19" x14ac:dyDescent="0.25">
      <c r="A19" s="35" t="s">
        <v>24</v>
      </c>
      <c r="B19" s="36">
        <f>C19/12</f>
        <v>87.908333333333346</v>
      </c>
      <c r="C19" s="36">
        <f>B47*B48*2</f>
        <v>1054.9000000000001</v>
      </c>
      <c r="D19" s="40">
        <f>C19/C20</f>
        <v>4.2367278850658954E-2</v>
      </c>
      <c r="E19" s="40">
        <f>C19/B50</f>
        <v>3.8461538461538464E-2</v>
      </c>
      <c r="G19" s="38"/>
      <c r="H19" s="38"/>
      <c r="I19" s="38"/>
      <c r="J19" s="38"/>
      <c r="K19" s="38"/>
      <c r="O19" s="29"/>
      <c r="P19" s="44"/>
      <c r="S19" s="29"/>
    </row>
    <row r="20" spans="1:19" x14ac:dyDescent="0.25">
      <c r="A20" s="35" t="s">
        <v>25</v>
      </c>
      <c r="B20" s="36">
        <f>SUM(B9:B19)-B14</f>
        <v>2074.9110095836631</v>
      </c>
      <c r="C20" s="36">
        <f>SUM(C9:C19)-C14</f>
        <v>24898.932115003954</v>
      </c>
      <c r="D20" s="40">
        <f>C20/C20</f>
        <v>1</v>
      </c>
      <c r="E20" s="40">
        <f>SUM(E9:E18)-E14</f>
        <v>0.86935079938324289</v>
      </c>
      <c r="G20" s="38"/>
      <c r="H20" s="38"/>
      <c r="I20" s="29"/>
      <c r="J20" s="38"/>
      <c r="K20" s="38"/>
      <c r="O20" s="29"/>
      <c r="P20" s="44"/>
      <c r="S20" s="29"/>
    </row>
    <row r="21" spans="1:19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O21" s="29"/>
      <c r="P21" s="44"/>
      <c r="S21" s="29"/>
    </row>
    <row r="22" spans="1:19" x14ac:dyDescent="0.25">
      <c r="B22" s="38"/>
      <c r="C22" s="38"/>
      <c r="O22" s="29"/>
      <c r="P22" s="44"/>
      <c r="S22" s="29"/>
    </row>
    <row r="23" spans="1:19" ht="15.6" x14ac:dyDescent="0.3">
      <c r="B23" s="26" t="s">
        <v>73</v>
      </c>
      <c r="O23" s="29"/>
      <c r="P23" s="44"/>
      <c r="S23" s="29"/>
    </row>
    <row r="24" spans="1:19" ht="12.75" customHeight="1" x14ac:dyDescent="0.3">
      <c r="C24" s="26"/>
      <c r="O24" s="29"/>
      <c r="P24" s="44"/>
      <c r="S24" s="29"/>
    </row>
    <row r="25" spans="1:19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O25" s="29"/>
      <c r="P25" s="44"/>
    </row>
    <row r="26" spans="1:19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O26" s="29"/>
      <c r="P26" s="44"/>
    </row>
    <row r="27" spans="1:19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O27" s="29"/>
      <c r="P27" s="44"/>
    </row>
    <row r="28" spans="1:19" x14ac:dyDescent="0.25">
      <c r="A28" s="206" t="s">
        <v>27</v>
      </c>
      <c r="B28" s="57">
        <f>C28/12</f>
        <v>0</v>
      </c>
      <c r="C28" s="36">
        <f>MAX(0,E28)</f>
        <v>0</v>
      </c>
      <c r="E28" s="58"/>
      <c r="F28" s="59"/>
      <c r="G28" s="59"/>
      <c r="H28" s="60"/>
      <c r="K28" s="25"/>
      <c r="O28" s="29"/>
      <c r="P28" s="44"/>
    </row>
    <row r="29" spans="1:19" x14ac:dyDescent="0.25">
      <c r="A29" s="206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O29" s="29"/>
      <c r="P29" s="44"/>
    </row>
    <row r="30" spans="1:19" x14ac:dyDescent="0.25">
      <c r="A30" s="206" t="s">
        <v>28</v>
      </c>
      <c r="B30" s="36">
        <f ca="1">(C30)/12</f>
        <v>24.916666666666668</v>
      </c>
      <c r="C30" s="36">
        <f ca="1">G30</f>
        <v>299</v>
      </c>
      <c r="D30" s="25"/>
      <c r="E30" s="46">
        <f>299</f>
        <v>299</v>
      </c>
      <c r="F30" s="25">
        <f ca="1">IF((B52-38892)*0.05&gt;0,(B52-38892)*0.05,0)</f>
        <v>0</v>
      </c>
      <c r="G30" s="46">
        <f ca="1">IF(E30&gt;F30,E30-F30,0)</f>
        <v>299</v>
      </c>
      <c r="H30" s="38"/>
      <c r="I30" s="38"/>
      <c r="K30" s="25"/>
      <c r="O30" s="29"/>
    </row>
    <row r="31" spans="1:19" x14ac:dyDescent="0.25">
      <c r="A31" s="206" t="s">
        <v>29</v>
      </c>
      <c r="B31" s="36">
        <f ca="1">C31/12</f>
        <v>0</v>
      </c>
      <c r="C31" s="36">
        <f ca="1">IF(C15&gt;F34,C15-F34,0)</f>
        <v>0</v>
      </c>
      <c r="D31" s="46"/>
      <c r="E31" s="21" t="s">
        <v>137</v>
      </c>
      <c r="H31" s="38"/>
      <c r="J31" s="38"/>
      <c r="K31" s="25"/>
    </row>
    <row r="32" spans="1:19" x14ac:dyDescent="0.25">
      <c r="A32" s="206" t="s">
        <v>82</v>
      </c>
      <c r="B32" s="36">
        <f ca="1">E32</f>
        <v>0</v>
      </c>
      <c r="C32" s="36">
        <f ca="1">E32*12</f>
        <v>0</v>
      </c>
      <c r="D32" s="46"/>
      <c r="E32" s="46">
        <f ca="1">IF(B52&lt;24640,(0.8*792-B52*0.3/12),0)</f>
        <v>0</v>
      </c>
      <c r="H32" s="38"/>
      <c r="J32" s="38"/>
      <c r="K32" s="25"/>
    </row>
    <row r="33" spans="1:15" x14ac:dyDescent="0.25">
      <c r="A33" s="35" t="s">
        <v>25</v>
      </c>
      <c r="B33" s="36">
        <f ca="1">SUM(B26:B32)</f>
        <v>24.916666666666668</v>
      </c>
      <c r="C33" s="36">
        <f ca="1">SUM(C26:C32)</f>
        <v>299</v>
      </c>
      <c r="E33" s="52" t="s">
        <v>83</v>
      </c>
      <c r="F33" s="52" t="s">
        <v>84</v>
      </c>
      <c r="G33" s="52"/>
      <c r="H33" s="38"/>
      <c r="I33" s="38"/>
      <c r="M33" s="27"/>
      <c r="N33" s="28"/>
      <c r="O33" s="61"/>
    </row>
    <row r="34" spans="1:15" x14ac:dyDescent="0.25">
      <c r="B34" s="38"/>
      <c r="C34" s="38"/>
      <c r="E34" s="21">
        <f>15924</f>
        <v>15924</v>
      </c>
      <c r="F34" s="38">
        <f ca="1">IF(IF((B52-E34+7766)&lt;0,(B52-E34)*0.25,(B52-E34+7766)*0.5+1942)&gt;0,IF((B52-E34+7766)&lt;0,(B52-E34)*0.25,(B52-E34+7766)*0.5+1942),0)</f>
        <v>11576.7</v>
      </c>
      <c r="H34" s="38"/>
      <c r="I34" s="38"/>
    </row>
    <row r="35" spans="1:15" x14ac:dyDescent="0.25">
      <c r="B35" s="38"/>
      <c r="C35" s="38"/>
    </row>
    <row r="36" spans="1:15" ht="15.6" x14ac:dyDescent="0.3">
      <c r="B36" s="26" t="s">
        <v>85</v>
      </c>
    </row>
    <row r="37" spans="1:15" ht="12.75" customHeight="1" x14ac:dyDescent="0.25">
      <c r="A37" s="22"/>
    </row>
    <row r="38" spans="1:15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5" x14ac:dyDescent="0.25">
      <c r="A39" s="35" t="s">
        <v>31</v>
      </c>
      <c r="B39" s="36"/>
      <c r="C39" s="36">
        <f ca="1">C33+B57</f>
        <v>24906.854464759999</v>
      </c>
      <c r="E39" s="52"/>
      <c r="F39" s="52"/>
      <c r="G39" s="52"/>
      <c r="H39" s="53"/>
      <c r="I39" s="53"/>
    </row>
    <row r="40" spans="1:15" x14ac:dyDescent="0.25">
      <c r="A40" s="35" t="s">
        <v>120</v>
      </c>
      <c r="B40" s="36"/>
      <c r="C40" s="36">
        <f>C20</f>
        <v>24898.932115003954</v>
      </c>
      <c r="E40" s="52"/>
      <c r="F40" s="52"/>
      <c r="G40" s="52"/>
      <c r="H40" s="70"/>
      <c r="I40" s="53"/>
    </row>
    <row r="41" spans="1:15" x14ac:dyDescent="0.25">
      <c r="A41" s="35" t="s">
        <v>33</v>
      </c>
      <c r="B41" s="36"/>
      <c r="C41" s="36">
        <f ca="1">C39-C40</f>
        <v>7.9223497560451506</v>
      </c>
      <c r="E41" s="38"/>
      <c r="H41" s="38"/>
      <c r="I41" s="38"/>
    </row>
    <row r="42" spans="1:15" x14ac:dyDescent="0.25">
      <c r="B42" s="38"/>
      <c r="C42" s="38"/>
      <c r="H42" s="38"/>
      <c r="I42" s="38"/>
    </row>
    <row r="43" spans="1:15" x14ac:dyDescent="0.25">
      <c r="B43" s="38"/>
      <c r="C43" s="38"/>
      <c r="E43" s="38"/>
      <c r="H43" s="38"/>
      <c r="I43" s="38"/>
    </row>
    <row r="44" spans="1:15" ht="15.6" x14ac:dyDescent="0.3">
      <c r="A44" s="63" t="s">
        <v>121</v>
      </c>
    </row>
    <row r="45" spans="1:15" x14ac:dyDescent="0.25">
      <c r="B45" s="27"/>
    </row>
    <row r="46" spans="1:15" s="45" customFormat="1" x14ac:dyDescent="0.25">
      <c r="A46" s="31"/>
      <c r="B46" s="71" t="s">
        <v>128</v>
      </c>
      <c r="C46" s="27"/>
      <c r="D46" s="27"/>
    </row>
    <row r="47" spans="1:15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5" x14ac:dyDescent="0.25">
      <c r="A48" s="35" t="s">
        <v>36</v>
      </c>
      <c r="B48" s="72">
        <v>15.07</v>
      </c>
      <c r="E48" s="45"/>
      <c r="F48" s="45"/>
      <c r="G48" s="45"/>
      <c r="H48" s="45"/>
      <c r="I48" s="45"/>
    </row>
    <row r="49" spans="1:18" ht="3.75" customHeight="1" x14ac:dyDescent="0.25">
      <c r="A49" s="30"/>
      <c r="B49" s="30"/>
      <c r="E49" s="45"/>
      <c r="F49" s="45"/>
      <c r="G49" s="45"/>
      <c r="H49" s="45"/>
      <c r="I49" s="45"/>
    </row>
    <row r="50" spans="1:18" x14ac:dyDescent="0.25">
      <c r="A50" s="35" t="s">
        <v>122</v>
      </c>
      <c r="B50" s="36">
        <f>B48*B47*52</f>
        <v>27427.4</v>
      </c>
      <c r="E50" s="45"/>
      <c r="F50" s="52" t="s">
        <v>88</v>
      </c>
      <c r="I50" s="38"/>
      <c r="K50" s="52" t="s">
        <v>88</v>
      </c>
      <c r="M50" s="21"/>
    </row>
    <row r="51" spans="1:18" x14ac:dyDescent="0.25">
      <c r="A51" s="35" t="s">
        <v>38</v>
      </c>
      <c r="B51" s="36">
        <f ca="1">-C15+C31</f>
        <v>0</v>
      </c>
      <c r="E51" s="45"/>
      <c r="F51" s="52" t="s">
        <v>129</v>
      </c>
      <c r="G51" s="52" t="s">
        <v>90</v>
      </c>
      <c r="H51" s="52" t="s">
        <v>91</v>
      </c>
      <c r="I51" s="52" t="s">
        <v>92</v>
      </c>
      <c r="K51" s="52" t="s">
        <v>129</v>
      </c>
      <c r="L51" s="52" t="s">
        <v>130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  <c r="R51" s="49" t="s">
        <v>163</v>
      </c>
    </row>
    <row r="52" spans="1:18" x14ac:dyDescent="0.25">
      <c r="A52" s="35" t="s">
        <v>39</v>
      </c>
      <c r="B52" s="36">
        <f ca="1">B50+B51</f>
        <v>27427.4</v>
      </c>
      <c r="E52" s="45"/>
      <c r="F52" s="64">
        <v>1</v>
      </c>
      <c r="G52" s="46">
        <f ca="1">B52*0.15</f>
        <v>4114.1099999999997</v>
      </c>
      <c r="H52" s="46">
        <f ca="1">(L52+B53+B54+M52+N52+R52)*0.15</f>
        <v>2761.599933</v>
      </c>
      <c r="I52" s="46">
        <f ca="1">IF(O52&gt;0, O52,0)+P52+Q52</f>
        <v>1169.4199999999996</v>
      </c>
      <c r="K52" s="21">
        <v>1</v>
      </c>
      <c r="L52" s="38">
        <v>13808</v>
      </c>
      <c r="M52" s="38">
        <v>1257</v>
      </c>
      <c r="N52" s="21">
        <f ca="1">IF(C17-B52*0.03&gt;0,C17-B52*0.03,0)</f>
        <v>0</v>
      </c>
      <c r="O52" s="21">
        <f>MAX(IF((B50-3000)*0.27&lt;1395,(B50-3000)*0.27,1395)-IF(B50-22944&gt;0,B50-22944,0)*0.15,0)</f>
        <v>722.48999999999978</v>
      </c>
      <c r="P52" s="21">
        <f ca="1">IF((0.25*N52 - 0.05*(B52-28446))&gt;0,(0.25*N52 - 0.05*(B52-28446)),0)</f>
        <v>50.929999999999929</v>
      </c>
      <c r="Q52" s="21">
        <f>360+360*0.1</f>
        <v>396</v>
      </c>
      <c r="R52" s="21">
        <v>1608.27</v>
      </c>
    </row>
    <row r="53" spans="1:18" x14ac:dyDescent="0.25">
      <c r="A53" s="206" t="s">
        <v>40</v>
      </c>
      <c r="B53" s="36">
        <f>IF(B50*0.0158&lt;889.54,B50*0.0158,889.54)</f>
        <v>433.35292000000004</v>
      </c>
      <c r="E53" s="45"/>
      <c r="F53" s="64"/>
      <c r="G53" s="46"/>
      <c r="H53" s="46"/>
      <c r="I53" s="38"/>
    </row>
    <row r="54" spans="1:18" x14ac:dyDescent="0.25">
      <c r="A54" s="206" t="s">
        <v>41</v>
      </c>
      <c r="B54" s="36">
        <f>IF(((B50-3500)*0.0545)&lt;3166.45,(B50-3500)*0.0545,3166.45)</f>
        <v>1304.0433</v>
      </c>
      <c r="C54" s="45"/>
      <c r="E54" s="45"/>
    </row>
    <row r="55" spans="1:18" x14ac:dyDescent="0.25">
      <c r="A55" s="206" t="s">
        <v>42</v>
      </c>
      <c r="B55" s="36">
        <f ca="1">IF(G52-H52&lt;0,0,G52-H52)-I52</f>
        <v>183.09006700000009</v>
      </c>
      <c r="C55" s="45"/>
      <c r="E55" s="45"/>
      <c r="F55" s="52" t="s">
        <v>99</v>
      </c>
      <c r="I55" s="38"/>
      <c r="K55" s="52" t="s">
        <v>99</v>
      </c>
      <c r="M55" s="21"/>
    </row>
    <row r="56" spans="1:18" x14ac:dyDescent="0.25">
      <c r="A56" s="206" t="s">
        <v>43</v>
      </c>
      <c r="B56" s="36">
        <f ca="1">IF(G57-H57&lt;0,0,G57-H57)-I57</f>
        <v>899.05924824000022</v>
      </c>
      <c r="C56" s="38"/>
      <c r="E56" s="46"/>
      <c r="F56" s="52" t="s">
        <v>129</v>
      </c>
      <c r="G56" s="52" t="s">
        <v>90</v>
      </c>
      <c r="H56" s="52" t="s">
        <v>91</v>
      </c>
      <c r="I56" s="52" t="s">
        <v>100</v>
      </c>
      <c r="K56" s="52" t="s">
        <v>129</v>
      </c>
      <c r="L56" s="52" t="s">
        <v>130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8" x14ac:dyDescent="0.25">
      <c r="A57" s="35" t="s">
        <v>44</v>
      </c>
      <c r="B57" s="36">
        <f ca="1">B50-SUM(B53:B56)</f>
        <v>24607.854464759999</v>
      </c>
      <c r="E57" s="38"/>
      <c r="F57" s="64">
        <v>1</v>
      </c>
      <c r="G57" s="46">
        <f ca="1">IF(B52&lt;33723,B52*0.108,(B52-33723)*0.1275+(33723*0.108))</f>
        <v>2962.1592000000001</v>
      </c>
      <c r="H57" s="46">
        <f ca="1">(L57+B53+B54+M57+N57+O57)*0.108</f>
        <v>1538.0999517599998</v>
      </c>
      <c r="I57" s="46">
        <f ca="1">P57+Q57</f>
        <v>525</v>
      </c>
      <c r="K57" s="21">
        <v>1</v>
      </c>
      <c r="L57" s="21">
        <v>9936</v>
      </c>
      <c r="M57" s="73">
        <f>1608.27+120*8</f>
        <v>2568.27</v>
      </c>
      <c r="N57" s="21">
        <v>0</v>
      </c>
      <c r="O57" s="21">
        <f ca="1">IF(C17-B52*0.03&gt;0,C17-B52*0.03,0)</f>
        <v>0</v>
      </c>
      <c r="P57" s="21">
        <f ca="1">IF(195-(B52*0.01)&gt;0,195-(B52*0.01),0)</f>
        <v>0</v>
      </c>
      <c r="Q57" s="21">
        <f ca="1">525-(IF(C32&gt;525,525,C32))</f>
        <v>525</v>
      </c>
    </row>
    <row r="58" spans="1:18" x14ac:dyDescent="0.25">
      <c r="A58" s="35" t="s">
        <v>45</v>
      </c>
      <c r="B58" s="36">
        <f ca="1">B57/12</f>
        <v>2050.6545387299998</v>
      </c>
      <c r="F58" s="64"/>
      <c r="G58" s="46"/>
      <c r="H58" s="46"/>
      <c r="I58" s="46"/>
    </row>
    <row r="59" spans="1:18" x14ac:dyDescent="0.25">
      <c r="B59" s="38"/>
      <c r="C59" s="38"/>
      <c r="D59" s="38"/>
    </row>
    <row r="60" spans="1:18" x14ac:dyDescent="0.25">
      <c r="B60" s="38"/>
      <c r="C60" s="38"/>
      <c r="D60" s="38"/>
    </row>
    <row r="61" spans="1:18" s="28" customFormat="1" x14ac:dyDescent="0.25">
      <c r="B61" s="28" t="s">
        <v>124</v>
      </c>
      <c r="M61" s="27"/>
    </row>
    <row r="63" spans="1:18" x14ac:dyDescent="0.25">
      <c r="A63" s="21" t="s">
        <v>106</v>
      </c>
      <c r="D63" s="38">
        <f>B50</f>
        <v>27427.4</v>
      </c>
    </row>
    <row r="64" spans="1:18" x14ac:dyDescent="0.25">
      <c r="A64" s="21" t="s">
        <v>107</v>
      </c>
      <c r="D64" s="38">
        <f ca="1">SUM(B53:B56)</f>
        <v>2819.5455352400004</v>
      </c>
    </row>
    <row r="65" spans="1:9" x14ac:dyDescent="0.25">
      <c r="A65" s="21" t="s">
        <v>108</v>
      </c>
      <c r="D65" s="38">
        <f ca="1">D63-D64</f>
        <v>24607.854464759999</v>
      </c>
    </row>
    <row r="66" spans="1:9" x14ac:dyDescent="0.25">
      <c r="A66" s="21" t="s">
        <v>109</v>
      </c>
      <c r="D66" s="38">
        <f ca="1">C33</f>
        <v>299</v>
      </c>
    </row>
    <row r="67" spans="1:9" x14ac:dyDescent="0.25">
      <c r="A67" s="21" t="s">
        <v>110</v>
      </c>
      <c r="D67" s="38">
        <f ca="1">D65+D66</f>
        <v>24906.854464759999</v>
      </c>
    </row>
    <row r="68" spans="1:9" x14ac:dyDescent="0.25">
      <c r="A68" s="21" t="s">
        <v>111</v>
      </c>
      <c r="D68" s="38">
        <f>C20</f>
        <v>24898.932115003954</v>
      </c>
    </row>
    <row r="69" spans="1:9" x14ac:dyDescent="0.25">
      <c r="A69" s="21" t="s">
        <v>112</v>
      </c>
      <c r="D69" s="38">
        <f ca="1">D67-D68</f>
        <v>7.9223497560451506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BFE4-FD06-4D4D-9DEA-52FA556903B4}">
  <dimension ref="A1:S113"/>
  <sheetViews>
    <sheetView workbookViewId="0">
      <selection activeCell="P52" sqref="P52"/>
    </sheetView>
  </sheetViews>
  <sheetFormatPr defaultColWidth="8.6640625" defaultRowHeight="13.2" x14ac:dyDescent="0.25"/>
  <cols>
    <col min="1" max="1" width="16.6640625" style="21" customWidth="1"/>
    <col min="2" max="2" width="9.6640625" style="21" customWidth="1"/>
    <col min="3" max="3" width="11.44140625" style="21" customWidth="1"/>
    <col min="4" max="4" width="8.6640625" style="21"/>
    <col min="5" max="5" width="10.6640625" style="21" customWidth="1"/>
    <col min="6" max="6" width="11.109375" style="21" customWidth="1"/>
    <col min="7" max="7" width="8.6640625" style="21"/>
    <col min="8" max="8" width="12.33203125" style="21" customWidth="1"/>
    <col min="9" max="9" width="8.44140625" style="21" customWidth="1"/>
    <col min="10" max="10" width="8.6640625" style="21"/>
    <col min="11" max="11" width="17.44140625" style="21" customWidth="1"/>
    <col min="12" max="12" width="12.109375" style="21" customWidth="1"/>
    <col min="13" max="13" width="15.44140625" style="45" customWidth="1"/>
    <col min="14" max="14" width="8.6640625" style="21"/>
    <col min="15" max="15" width="8" style="21" customWidth="1"/>
    <col min="16" max="16" width="7.44140625" style="21" customWidth="1"/>
    <col min="17" max="16384" width="8.6640625" style="21"/>
  </cols>
  <sheetData>
    <row r="1" spans="1:19" ht="17.399999999999999" x14ac:dyDescent="0.3">
      <c r="A1" s="20" t="s">
        <v>138</v>
      </c>
      <c r="B1" s="20"/>
    </row>
    <row r="2" spans="1:19" s="22" customFormat="1" ht="15" customHeight="1" x14ac:dyDescent="0.3">
      <c r="C2" s="22" t="s">
        <v>126</v>
      </c>
      <c r="D2" s="23"/>
      <c r="E2" s="24"/>
      <c r="M2" s="68"/>
    </row>
    <row r="3" spans="1:19" ht="15.6" x14ac:dyDescent="0.3">
      <c r="A3" s="25"/>
      <c r="C3" s="21" t="s">
        <v>165</v>
      </c>
      <c r="D3" s="23"/>
      <c r="E3" s="24"/>
      <c r="F3" s="22"/>
      <c r="G3" s="22"/>
      <c r="H3" s="22"/>
      <c r="I3" s="22"/>
      <c r="J3" s="22"/>
    </row>
    <row r="4" spans="1:19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19" ht="15.6" x14ac:dyDescent="0.3">
      <c r="B5" s="26" t="s">
        <v>49</v>
      </c>
      <c r="M5" s="27"/>
      <c r="N5" s="28"/>
      <c r="O5" s="28"/>
      <c r="P5" s="28"/>
    </row>
    <row r="6" spans="1:19" ht="12.75" customHeight="1" x14ac:dyDescent="0.3">
      <c r="C6" s="26"/>
      <c r="J6" s="27"/>
      <c r="Q6" s="29"/>
    </row>
    <row r="7" spans="1:19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24042.2</v>
      </c>
      <c r="J7" s="27"/>
      <c r="N7" s="45"/>
    </row>
    <row r="8" spans="1:19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290</v>
      </c>
      <c r="J8" s="38"/>
      <c r="M8" s="21"/>
      <c r="P8" s="44"/>
    </row>
    <row r="9" spans="1:19" x14ac:dyDescent="0.25">
      <c r="A9" s="35" t="s">
        <v>14</v>
      </c>
      <c r="B9" s="36">
        <f>C9/12</f>
        <v>282.59457579972178</v>
      </c>
      <c r="C9" s="36">
        <f>((10983*(148/143.8))/4)*1.2</f>
        <v>3391.1349095966611</v>
      </c>
      <c r="D9" s="40">
        <f>C9/C20</f>
        <v>0.15767046299653056</v>
      </c>
      <c r="E9" s="40">
        <f>C9/B50</f>
        <v>0.14104927625577779</v>
      </c>
      <c r="F9" s="41"/>
      <c r="G9" s="38"/>
      <c r="H9" s="42" t="s">
        <v>64</v>
      </c>
      <c r="I9" s="43">
        <f ca="1">I7+I8</f>
        <v>24332.2</v>
      </c>
      <c r="J9" s="27"/>
      <c r="M9" s="21"/>
      <c r="P9" s="44"/>
      <c r="S9" s="29"/>
    </row>
    <row r="10" spans="1:19" x14ac:dyDescent="0.25">
      <c r="A10" s="35" t="s">
        <v>15</v>
      </c>
      <c r="B10" s="36">
        <f>C10/12</f>
        <v>86.812299465240656</v>
      </c>
      <c r="C10" s="36">
        <f>((2042*(95.4/93.5))/2)*SQRT(1)</f>
        <v>1041.7475935828879</v>
      </c>
      <c r="D10" s="40">
        <f>C10/C20</f>
        <v>4.8435945423731787E-2</v>
      </c>
      <c r="E10" s="40">
        <f>C10/B50</f>
        <v>4.3329961217479597E-2</v>
      </c>
      <c r="F10" s="41"/>
      <c r="H10" s="45"/>
      <c r="I10" s="45"/>
      <c r="J10" s="38"/>
      <c r="M10" s="21"/>
      <c r="P10" s="44"/>
      <c r="S10" s="29"/>
    </row>
    <row r="11" spans="1:19" x14ac:dyDescent="0.25">
      <c r="A11" s="35" t="s">
        <v>16</v>
      </c>
      <c r="B11" s="36">
        <f>C11/12</f>
        <v>747.79678852889663</v>
      </c>
      <c r="C11" s="36">
        <f>(665*12)+(487.63*(158.1/114.2))+(26.54*12)</f>
        <v>8973.5614623467591</v>
      </c>
      <c r="D11" s="40">
        <f>C11/C20</f>
        <v>0.41722480178894461</v>
      </c>
      <c r="E11" s="40">
        <f>C11/B50</f>
        <v>0.37324211022064363</v>
      </c>
      <c r="G11" s="38"/>
      <c r="H11" s="25" t="s">
        <v>67</v>
      </c>
      <c r="I11" s="46">
        <f ca="1">B55+B56</f>
        <v>1383.0440812799998</v>
      </c>
      <c r="J11" s="27"/>
      <c r="M11" s="21"/>
      <c r="O11" s="29"/>
      <c r="P11" s="44"/>
      <c r="S11" s="29"/>
    </row>
    <row r="12" spans="1:19" x14ac:dyDescent="0.25">
      <c r="A12" s="35" t="s">
        <v>17</v>
      </c>
      <c r="B12" s="36">
        <f>C12/12</f>
        <v>102</v>
      </c>
      <c r="C12" s="36">
        <f>12*(86+16)</f>
        <v>1224</v>
      </c>
      <c r="D12" s="40">
        <f>C12/C20</f>
        <v>5.6909752001198716E-2</v>
      </c>
      <c r="E12" s="40">
        <f>C12/B50</f>
        <v>5.0910482401776876E-2</v>
      </c>
      <c r="F12" s="41"/>
      <c r="H12" s="46" t="s">
        <v>68</v>
      </c>
      <c r="I12" s="46">
        <f ca="1">C33</f>
        <v>290</v>
      </c>
      <c r="J12" s="29"/>
      <c r="M12" s="21"/>
      <c r="O12" s="29"/>
      <c r="P12" s="44"/>
      <c r="S12" s="29"/>
    </row>
    <row r="13" spans="1:19" x14ac:dyDescent="0.25">
      <c r="A13" s="35" t="s">
        <v>18</v>
      </c>
      <c r="B13" s="36">
        <f>C13/12</f>
        <v>278.53278394978173</v>
      </c>
      <c r="C13" s="36">
        <f>0.754*(C9+C10)</f>
        <v>3342.3934073973805</v>
      </c>
      <c r="D13" s="40">
        <f>C13/C20</f>
        <v>0.15540423194887784</v>
      </c>
      <c r="E13" s="40">
        <f>C13/B50</f>
        <v>0.13902194505483609</v>
      </c>
      <c r="H13" s="43" t="s">
        <v>70</v>
      </c>
      <c r="I13" s="43">
        <f ca="1">I11-I12</f>
        <v>1093.0440812799998</v>
      </c>
      <c r="J13" s="38"/>
      <c r="K13" s="38"/>
      <c r="O13" s="29"/>
      <c r="P13" s="44"/>
      <c r="S13" s="29"/>
    </row>
    <row r="14" spans="1:19" s="49" customFormat="1" x14ac:dyDescent="0.25">
      <c r="A14" s="37" t="s">
        <v>19</v>
      </c>
      <c r="B14" s="47">
        <f>SUM(B9:B13)</f>
        <v>1497.7364477436408</v>
      </c>
      <c r="C14" s="47">
        <f>SUM(C9:C13)</f>
        <v>17972.837372923688</v>
      </c>
      <c r="D14" s="48">
        <f>C14/C20</f>
        <v>0.83564519415928351</v>
      </c>
      <c r="E14" s="48">
        <f>C14/B50</f>
        <v>0.74755377515051402</v>
      </c>
      <c r="G14" s="43"/>
      <c r="H14" s="46" t="s">
        <v>71</v>
      </c>
      <c r="I14" s="46">
        <f>B53+B54</f>
        <v>1437.1358399999999</v>
      </c>
      <c r="J14" s="43"/>
      <c r="K14" s="43"/>
      <c r="M14" s="45"/>
      <c r="N14" s="50"/>
      <c r="O14" s="29"/>
      <c r="P14" s="44"/>
      <c r="Q14" s="21"/>
      <c r="R14" s="21"/>
      <c r="S14" s="29"/>
    </row>
    <row r="15" spans="1:19" x14ac:dyDescent="0.25">
      <c r="A15" s="35" t="s">
        <v>20</v>
      </c>
      <c r="B15" s="36">
        <f>C15/12</f>
        <v>0</v>
      </c>
      <c r="C15" s="36">
        <f>M11</f>
        <v>0</v>
      </c>
      <c r="D15" s="40">
        <f>C15/C20</f>
        <v>0</v>
      </c>
      <c r="E15" s="40">
        <f>C15/B50</f>
        <v>0</v>
      </c>
      <c r="G15" s="38"/>
      <c r="H15" s="49" t="s">
        <v>72</v>
      </c>
      <c r="I15" s="43">
        <f ca="1">I13+I14</f>
        <v>2530.1799212799997</v>
      </c>
      <c r="J15" s="38"/>
      <c r="K15" s="38"/>
      <c r="O15" s="29"/>
      <c r="P15" s="44"/>
      <c r="Q15" s="49"/>
      <c r="S15" s="29"/>
    </row>
    <row r="16" spans="1:19" x14ac:dyDescent="0.25">
      <c r="A16" s="3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O16" s="29"/>
      <c r="P16" s="44"/>
      <c r="S16" s="29"/>
    </row>
    <row r="17" spans="1:19" x14ac:dyDescent="0.25">
      <c r="A17" s="35" t="s">
        <v>22</v>
      </c>
      <c r="B17" s="36">
        <f>C17/12</f>
        <v>68.25</v>
      </c>
      <c r="C17" s="36">
        <f>(68.25)*12</f>
        <v>819</v>
      </c>
      <c r="D17" s="40">
        <f>C17/C20</f>
        <v>3.8079319353743257E-2</v>
      </c>
      <c r="E17" s="40">
        <f>C17/B50</f>
        <v>3.4065102195306583E-2</v>
      </c>
      <c r="G17" s="38"/>
      <c r="H17" s="38"/>
      <c r="I17" s="38"/>
      <c r="J17" s="38"/>
      <c r="K17" s="38"/>
      <c r="O17" s="29"/>
      <c r="P17" s="44"/>
      <c r="S17" s="29"/>
    </row>
    <row r="18" spans="1:19" x14ac:dyDescent="0.25">
      <c r="A18" s="35" t="s">
        <v>23</v>
      </c>
      <c r="B18" s="36">
        <f>C18/12</f>
        <v>149.26666666666668</v>
      </c>
      <c r="C18" s="36">
        <v>1791.2</v>
      </c>
      <c r="D18" s="40">
        <f>C18/C20</f>
        <v>8.3281656686721522E-2</v>
      </c>
      <c r="E18" s="40">
        <f>C18/B50</f>
        <v>7.4502333397110085E-2</v>
      </c>
      <c r="G18" s="38"/>
      <c r="H18" s="38"/>
      <c r="I18" s="38"/>
      <c r="J18" s="38"/>
      <c r="K18" s="38"/>
      <c r="O18" s="29"/>
      <c r="P18" s="44"/>
      <c r="S18" s="29"/>
    </row>
    <row r="19" spans="1:19" x14ac:dyDescent="0.25">
      <c r="A19" s="35" t="s">
        <v>24</v>
      </c>
      <c r="B19" s="36">
        <f>C19/12</f>
        <v>77.058333333333337</v>
      </c>
      <c r="C19" s="36">
        <f>B47*B48*2</f>
        <v>924.7</v>
      </c>
      <c r="D19" s="40">
        <f>C19/C20</f>
        <v>4.2993829800252008E-2</v>
      </c>
      <c r="E19" s="40">
        <f>C19/B50</f>
        <v>3.8461538461538464E-2</v>
      </c>
      <c r="G19" s="38"/>
      <c r="H19" s="38"/>
      <c r="I19" s="38"/>
      <c r="J19" s="38"/>
      <c r="K19" s="38"/>
      <c r="O19" s="29"/>
      <c r="P19" s="44"/>
      <c r="S19" s="29"/>
    </row>
    <row r="20" spans="1:19" x14ac:dyDescent="0.25">
      <c r="A20" s="35" t="s">
        <v>25</v>
      </c>
      <c r="B20" s="36">
        <f>SUM(B9:B19)-B14</f>
        <v>1792.3114477436411</v>
      </c>
      <c r="C20" s="36">
        <f>SUM(C9:C19)-C14</f>
        <v>21507.737372923682</v>
      </c>
      <c r="D20" s="40">
        <f>C20/C20</f>
        <v>1</v>
      </c>
      <c r="E20" s="40">
        <f>SUM(E9:E18)-E14</f>
        <v>0.85612121074293068</v>
      </c>
      <c r="G20" s="38"/>
      <c r="H20" s="38"/>
      <c r="I20" s="29"/>
      <c r="J20" s="38"/>
      <c r="K20" s="38"/>
      <c r="O20" s="29"/>
      <c r="P20" s="44"/>
      <c r="S20" s="29"/>
    </row>
    <row r="21" spans="1:19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O21" s="29"/>
      <c r="P21" s="44"/>
      <c r="S21" s="29"/>
    </row>
    <row r="22" spans="1:19" x14ac:dyDescent="0.25">
      <c r="B22" s="38"/>
      <c r="C22" s="38"/>
      <c r="O22" s="29"/>
      <c r="P22" s="44"/>
      <c r="S22" s="29"/>
    </row>
    <row r="23" spans="1:19" ht="15.6" x14ac:dyDescent="0.3">
      <c r="B23" s="26" t="s">
        <v>73</v>
      </c>
      <c r="O23" s="29"/>
      <c r="P23" s="44"/>
      <c r="S23" s="29"/>
    </row>
    <row r="24" spans="1:19" ht="12.75" customHeight="1" x14ac:dyDescent="0.3">
      <c r="C24" s="26"/>
      <c r="O24" s="29"/>
      <c r="P24" s="44"/>
      <c r="S24" s="29"/>
    </row>
    <row r="25" spans="1:19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O25" s="29"/>
      <c r="P25" s="44"/>
    </row>
    <row r="26" spans="1:19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O26" s="29"/>
      <c r="P26" s="44"/>
    </row>
    <row r="27" spans="1:19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O27" s="29"/>
      <c r="P27" s="44"/>
    </row>
    <row r="28" spans="1:19" x14ac:dyDescent="0.25">
      <c r="A28" s="35" t="s">
        <v>27</v>
      </c>
      <c r="B28" s="57">
        <f>C28/12</f>
        <v>0</v>
      </c>
      <c r="C28" s="36">
        <f>MAX(0,E28)</f>
        <v>0</v>
      </c>
      <c r="E28" s="58"/>
      <c r="F28" s="59"/>
      <c r="G28" s="59"/>
      <c r="H28" s="60"/>
      <c r="K28" s="25"/>
      <c r="O28" s="29"/>
      <c r="P28" s="44"/>
    </row>
    <row r="29" spans="1:19" x14ac:dyDescent="0.25">
      <c r="A29" s="35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O29" s="29"/>
      <c r="P29" s="44"/>
    </row>
    <row r="30" spans="1:19" x14ac:dyDescent="0.25">
      <c r="A30" s="35" t="s">
        <v>28</v>
      </c>
      <c r="B30" s="36">
        <f ca="1">(C30)/12</f>
        <v>24.166666666666668</v>
      </c>
      <c r="C30" s="36">
        <f ca="1">G30</f>
        <v>290</v>
      </c>
      <c r="D30" s="25"/>
      <c r="E30" s="46">
        <f>290</f>
        <v>290</v>
      </c>
      <c r="F30" s="25">
        <f ca="1">IF((B52-37789)*0.05&gt;0,(B52-37789)*0.05,0)</f>
        <v>0</v>
      </c>
      <c r="G30" s="46">
        <f ca="1">IF(E30&gt;F30,E30-F30,0)</f>
        <v>290</v>
      </c>
      <c r="H30" s="38"/>
      <c r="I30" s="38"/>
      <c r="K30" s="25"/>
      <c r="O30" s="29"/>
    </row>
    <row r="31" spans="1:19" x14ac:dyDescent="0.25">
      <c r="A31" s="35" t="s">
        <v>29</v>
      </c>
      <c r="B31" s="36">
        <f ca="1">C31/12</f>
        <v>0</v>
      </c>
      <c r="C31" s="36">
        <f ca="1">IF(C15&gt;F34,C15-F34,0)</f>
        <v>0</v>
      </c>
      <c r="D31" s="46"/>
      <c r="E31" s="21" t="s">
        <v>137</v>
      </c>
      <c r="H31" s="38"/>
      <c r="J31" s="38"/>
      <c r="K31" s="25"/>
    </row>
    <row r="32" spans="1:19" x14ac:dyDescent="0.25">
      <c r="A32" s="35" t="s">
        <v>82</v>
      </c>
      <c r="B32" s="36">
        <f ca="1">E32</f>
        <v>0</v>
      </c>
      <c r="C32" s="36">
        <f ca="1">E32*12</f>
        <v>0</v>
      </c>
      <c r="D32" s="46"/>
      <c r="E32" s="46">
        <f ca="1">IF(B52&lt;23040,(0.75*768-B52*0.3/12),0)</f>
        <v>0</v>
      </c>
      <c r="H32" s="38"/>
      <c r="J32" s="38"/>
      <c r="K32" s="25"/>
    </row>
    <row r="33" spans="1:15" x14ac:dyDescent="0.25">
      <c r="A33" s="35" t="s">
        <v>25</v>
      </c>
      <c r="B33" s="36">
        <f ca="1">SUM(B26:B32)</f>
        <v>24.166666666666668</v>
      </c>
      <c r="C33" s="36">
        <f ca="1">SUM(C26:C32)</f>
        <v>290</v>
      </c>
      <c r="E33" s="52" t="s">
        <v>83</v>
      </c>
      <c r="F33" s="52" t="s">
        <v>84</v>
      </c>
      <c r="G33" s="52"/>
      <c r="H33" s="38"/>
      <c r="I33" s="38"/>
      <c r="M33" s="27"/>
      <c r="N33" s="28"/>
      <c r="O33" s="61"/>
    </row>
    <row r="34" spans="1:15" x14ac:dyDescent="0.25">
      <c r="B34" s="38"/>
      <c r="C34" s="38"/>
      <c r="E34" s="21">
        <f>10982</f>
        <v>10982</v>
      </c>
      <c r="F34" s="38">
        <f ca="1">IF(IF((B52-E34+5356)&lt;0,(B52-E34)*0.25,(B52-E34+5356)*0.5+1339)&gt;0,IF((B52-E34+5356)&lt;0,(B52-E34)*0.25,(B52-E34+5356)*0.5+1339),0)</f>
        <v>10547.1</v>
      </c>
      <c r="H34" s="38"/>
      <c r="I34" s="38"/>
    </row>
    <row r="35" spans="1:15" x14ac:dyDescent="0.25">
      <c r="B35" s="38"/>
      <c r="C35" s="38"/>
    </row>
    <row r="36" spans="1:15" ht="15.6" x14ac:dyDescent="0.3">
      <c r="B36" s="26" t="s">
        <v>85</v>
      </c>
    </row>
    <row r="37" spans="1:15" ht="12.75" customHeight="1" x14ac:dyDescent="0.25">
      <c r="A37" s="22"/>
    </row>
    <row r="38" spans="1:15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5" x14ac:dyDescent="0.25">
      <c r="A39" s="35" t="s">
        <v>31</v>
      </c>
      <c r="B39" s="36"/>
      <c r="C39" s="36">
        <f ca="1">C33+B57</f>
        <v>21512.020078720001</v>
      </c>
      <c r="E39" s="52"/>
      <c r="F39" s="52"/>
      <c r="G39" s="52"/>
      <c r="H39" s="53"/>
      <c r="I39" s="53"/>
    </row>
    <row r="40" spans="1:15" x14ac:dyDescent="0.25">
      <c r="A40" s="35" t="s">
        <v>120</v>
      </c>
      <c r="B40" s="36"/>
      <c r="C40" s="36">
        <f>C20</f>
        <v>21507.737372923682</v>
      </c>
      <c r="E40" s="52"/>
      <c r="F40" s="52"/>
      <c r="G40" s="52"/>
      <c r="H40" s="70"/>
      <c r="I40" s="53"/>
    </row>
    <row r="41" spans="1:15" x14ac:dyDescent="0.25">
      <c r="A41" s="35" t="s">
        <v>33</v>
      </c>
      <c r="B41" s="36"/>
      <c r="C41" s="36">
        <f ca="1">C39-C40</f>
        <v>4.2827057963186235</v>
      </c>
      <c r="E41" s="38"/>
      <c r="H41" s="38"/>
      <c r="I41" s="38"/>
    </row>
    <row r="42" spans="1:15" x14ac:dyDescent="0.25">
      <c r="B42" s="38"/>
      <c r="C42" s="38"/>
      <c r="H42" s="38"/>
      <c r="I42" s="38"/>
    </row>
    <row r="43" spans="1:15" x14ac:dyDescent="0.25">
      <c r="B43" s="38"/>
      <c r="C43" s="38"/>
      <c r="E43" s="38"/>
      <c r="H43" s="38"/>
      <c r="I43" s="38"/>
    </row>
    <row r="44" spans="1:15" ht="15.6" x14ac:dyDescent="0.3">
      <c r="A44" s="63" t="s">
        <v>121</v>
      </c>
    </row>
    <row r="45" spans="1:15" x14ac:dyDescent="0.25">
      <c r="B45" s="27"/>
    </row>
    <row r="46" spans="1:15" s="45" customFormat="1" x14ac:dyDescent="0.25">
      <c r="A46" s="31"/>
      <c r="B46" s="71" t="s">
        <v>128</v>
      </c>
      <c r="C46" s="27"/>
      <c r="D46" s="27"/>
    </row>
    <row r="47" spans="1:15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5" x14ac:dyDescent="0.25">
      <c r="A48" s="35" t="s">
        <v>36</v>
      </c>
      <c r="B48" s="72">
        <v>13.21</v>
      </c>
      <c r="E48" s="45"/>
      <c r="F48" s="45"/>
      <c r="G48" s="45"/>
      <c r="H48" s="45"/>
      <c r="I48" s="45"/>
    </row>
    <row r="49" spans="1:17" ht="3.75" customHeight="1" x14ac:dyDescent="0.25">
      <c r="A49" s="30"/>
      <c r="B49" s="30"/>
      <c r="E49" s="45"/>
      <c r="F49" s="45"/>
      <c r="G49" s="45"/>
      <c r="H49" s="45"/>
      <c r="I49" s="45"/>
    </row>
    <row r="50" spans="1:17" x14ac:dyDescent="0.25">
      <c r="A50" s="35" t="s">
        <v>122</v>
      </c>
      <c r="B50" s="36">
        <f>B48*B47*52</f>
        <v>24042.2</v>
      </c>
      <c r="E50" s="45"/>
      <c r="F50" s="52" t="s">
        <v>88</v>
      </c>
      <c r="I50" s="38"/>
      <c r="K50" s="52" t="s">
        <v>88</v>
      </c>
      <c r="M50" s="21"/>
    </row>
    <row r="51" spans="1:17" x14ac:dyDescent="0.25">
      <c r="A51" s="35" t="s">
        <v>38</v>
      </c>
      <c r="B51" s="36">
        <f ca="1">-C15+C31</f>
        <v>0</v>
      </c>
      <c r="E51" s="45"/>
      <c r="F51" s="52" t="s">
        <v>129</v>
      </c>
      <c r="G51" s="52" t="s">
        <v>90</v>
      </c>
      <c r="H51" s="52" t="s">
        <v>91</v>
      </c>
      <c r="I51" s="52" t="s">
        <v>92</v>
      </c>
      <c r="K51" s="52" t="s">
        <v>129</v>
      </c>
      <c r="L51" s="52" t="s">
        <v>130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</row>
    <row r="52" spans="1:17" x14ac:dyDescent="0.25">
      <c r="A52" s="35" t="s">
        <v>39</v>
      </c>
      <c r="B52" s="36">
        <f ca="1">B50+B51</f>
        <v>24042.2</v>
      </c>
      <c r="E52" s="45"/>
      <c r="F52" s="64">
        <v>1</v>
      </c>
      <c r="G52" s="46">
        <f ca="1">B52*0.15</f>
        <v>3606.33</v>
      </c>
      <c r="H52" s="46">
        <f ca="1">(L52+B53+B54+M52+N52)*0.15</f>
        <v>2223.8804760000003</v>
      </c>
      <c r="I52" s="46">
        <f ca="1">IF(O52&gt;0, O52,0)+P52+Q52</f>
        <v>425.85950000000003</v>
      </c>
      <c r="K52" s="21">
        <v>1</v>
      </c>
      <c r="L52" s="38">
        <f>12069</f>
        <v>12069</v>
      </c>
      <c r="M52" s="38">
        <v>1222</v>
      </c>
      <c r="N52" s="21">
        <f ca="1">IF(C17-B52*0.03&gt;0,C17-B52*0.03,0)</f>
        <v>97.734000000000037</v>
      </c>
      <c r="O52" s="21">
        <f>IF((B50-3000)*0.26&lt;1355,(B50-3000)*0.26,1355)-IF(B50-12820&gt;0,B50-12820,0)*0.12</f>
        <v>8.3360000000000127</v>
      </c>
      <c r="P52" s="21">
        <f ca="1">IF((0.25*N52 - 0.05*(B52-27044))&gt;0,(0.25*N52 - 0.05*(B52-27044)),0)</f>
        <v>174.52349999999998</v>
      </c>
      <c r="Q52" s="21">
        <v>243</v>
      </c>
    </row>
    <row r="53" spans="1:17" x14ac:dyDescent="0.25">
      <c r="A53" s="35" t="s">
        <v>40</v>
      </c>
      <c r="B53" s="36">
        <f>B50*0.0162</f>
        <v>389.48363999999998</v>
      </c>
      <c r="E53" s="45"/>
      <c r="F53" s="64"/>
      <c r="G53" s="46"/>
      <c r="H53" s="46"/>
      <c r="I53" s="38"/>
    </row>
    <row r="54" spans="1:17" x14ac:dyDescent="0.25">
      <c r="A54" s="35" t="s">
        <v>41</v>
      </c>
      <c r="B54" s="36">
        <f>IF(((B50-3500)*0.051)&lt;2748.9,(B50-3500)*0.051,2748.9)</f>
        <v>1047.6522</v>
      </c>
      <c r="C54" s="45"/>
      <c r="E54" s="45"/>
    </row>
    <row r="55" spans="1:17" x14ac:dyDescent="0.25">
      <c r="A55" s="35" t="s">
        <v>42</v>
      </c>
      <c r="B55" s="36">
        <f ca="1">IF(G52-H52&lt;0,0,G52-H52)-I52</f>
        <v>956.59002399999963</v>
      </c>
      <c r="C55" s="45"/>
      <c r="E55" s="45"/>
      <c r="F55" s="52" t="s">
        <v>99</v>
      </c>
      <c r="I55" s="38"/>
      <c r="K55" s="52" t="s">
        <v>99</v>
      </c>
      <c r="M55" s="21"/>
    </row>
    <row r="56" spans="1:17" x14ac:dyDescent="0.25">
      <c r="A56" s="35" t="s">
        <v>43</v>
      </c>
      <c r="B56" s="36">
        <f ca="1">IF(G57-H57&lt;0,0,G57-H57)-I57</f>
        <v>426.45405728000014</v>
      </c>
      <c r="C56" s="38"/>
      <c r="E56" s="46"/>
      <c r="F56" s="52" t="s">
        <v>129</v>
      </c>
      <c r="G56" s="52" t="s">
        <v>90</v>
      </c>
      <c r="H56" s="52" t="s">
        <v>91</v>
      </c>
      <c r="I56" s="52" t="s">
        <v>100</v>
      </c>
      <c r="K56" s="52" t="s">
        <v>129</v>
      </c>
      <c r="L56" s="52" t="s">
        <v>130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7" x14ac:dyDescent="0.25">
      <c r="A57" s="35" t="s">
        <v>44</v>
      </c>
      <c r="B57" s="36">
        <f ca="1">B50-SUM(B53:B56)</f>
        <v>21222.020078720001</v>
      </c>
      <c r="E57" s="38"/>
      <c r="F57" s="64">
        <v>1</v>
      </c>
      <c r="G57" s="46">
        <f ca="1">IF(B52&lt;33389,B52*0.108,(B52-33389)*0.1275+(33389*0.108))</f>
        <v>2596.5576000000001</v>
      </c>
      <c r="H57" s="46">
        <f ca="1">(L57+B53+B54+M57+N57+O57)*0.108</f>
        <v>1470.10354272</v>
      </c>
      <c r="I57" s="46">
        <f ca="1">P57+Q57</f>
        <v>700</v>
      </c>
      <c r="K57" s="21">
        <v>1</v>
      </c>
      <c r="L57" s="21">
        <f>9626</f>
        <v>9626</v>
      </c>
      <c r="M57" s="73">
        <f>1491.2+120*8</f>
        <v>2451.1999999999998</v>
      </c>
      <c r="N57" s="21">
        <v>0</v>
      </c>
      <c r="O57" s="21">
        <f ca="1">IF(C17-B52*0.03&gt;0,C17-B52*0.03,0)</f>
        <v>97.734000000000037</v>
      </c>
      <c r="P57" s="21">
        <f ca="1">IF(195-(B52*0.01)&gt;0,195-(B52*0.01),0)</f>
        <v>0</v>
      </c>
      <c r="Q57" s="21">
        <f ca="1">700-(IF(C32&gt;700,700,C32))</f>
        <v>700</v>
      </c>
    </row>
    <row r="58" spans="1:17" x14ac:dyDescent="0.25">
      <c r="A58" s="35" t="s">
        <v>45</v>
      </c>
      <c r="B58" s="36">
        <f ca="1">B57/12</f>
        <v>1768.5016732266668</v>
      </c>
      <c r="F58" s="64"/>
      <c r="G58" s="46"/>
      <c r="H58" s="46"/>
      <c r="I58" s="46"/>
    </row>
    <row r="59" spans="1:17" x14ac:dyDescent="0.25">
      <c r="B59" s="38"/>
      <c r="C59" s="38"/>
      <c r="D59" s="38"/>
    </row>
    <row r="60" spans="1:17" x14ac:dyDescent="0.25">
      <c r="B60" s="38"/>
      <c r="C60" s="38"/>
      <c r="D60" s="38"/>
    </row>
    <row r="61" spans="1:17" s="28" customFormat="1" x14ac:dyDescent="0.25">
      <c r="B61" s="28" t="s">
        <v>124</v>
      </c>
      <c r="M61" s="27"/>
    </row>
    <row r="63" spans="1:17" x14ac:dyDescent="0.25">
      <c r="A63" s="21" t="s">
        <v>106</v>
      </c>
      <c r="D63" s="38">
        <f>B50</f>
        <v>24042.2</v>
      </c>
    </row>
    <row r="64" spans="1:17" x14ac:dyDescent="0.25">
      <c r="A64" s="21" t="s">
        <v>107</v>
      </c>
      <c r="D64" s="38">
        <f ca="1">SUM(B53:B56)</f>
        <v>2820.1799212799997</v>
      </c>
    </row>
    <row r="65" spans="1:9" x14ac:dyDescent="0.25">
      <c r="A65" s="21" t="s">
        <v>108</v>
      </c>
      <c r="D65" s="38">
        <f ca="1">D63-D64</f>
        <v>21222.020078720001</v>
      </c>
    </row>
    <row r="66" spans="1:9" x14ac:dyDescent="0.25">
      <c r="A66" s="21" t="s">
        <v>109</v>
      </c>
      <c r="D66" s="38">
        <f ca="1">C33</f>
        <v>290</v>
      </c>
    </row>
    <row r="67" spans="1:9" x14ac:dyDescent="0.25">
      <c r="A67" s="21" t="s">
        <v>110</v>
      </c>
      <c r="D67" s="38">
        <f ca="1">D65+D66</f>
        <v>21512.020078720001</v>
      </c>
    </row>
    <row r="68" spans="1:9" x14ac:dyDescent="0.25">
      <c r="A68" s="21" t="s">
        <v>111</v>
      </c>
      <c r="D68" s="38">
        <f>C20</f>
        <v>21507.737372923682</v>
      </c>
    </row>
    <row r="69" spans="1:9" x14ac:dyDescent="0.25">
      <c r="A69" s="21" t="s">
        <v>112</v>
      </c>
      <c r="D69" s="38">
        <f ca="1">D67-D68</f>
        <v>4.2827057963186235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B113"/>
  <sheetViews>
    <sheetView zoomScale="75" zoomScaleNormal="75" workbookViewId="0">
      <selection activeCell="C12" sqref="C12"/>
    </sheetView>
  </sheetViews>
  <sheetFormatPr defaultColWidth="8.5546875" defaultRowHeight="13.2" x14ac:dyDescent="0.25"/>
  <cols>
    <col min="1" max="1" width="22.5546875" style="137" customWidth="1"/>
    <col min="2" max="2" width="8.5546875" style="137"/>
    <col min="3" max="3" width="11" style="137" customWidth="1"/>
    <col min="4" max="5" width="10.5546875" style="137" customWidth="1"/>
    <col min="6" max="6" width="12.44140625" style="137" customWidth="1"/>
    <col min="7" max="7" width="12.21875" style="137" customWidth="1"/>
    <col min="8" max="8" width="14" style="137" customWidth="1"/>
    <col min="9" max="9" width="8.44140625" style="137" customWidth="1"/>
    <col min="10" max="10" width="8.5546875" style="137"/>
    <col min="11" max="11" width="8.44140625" style="137" customWidth="1"/>
    <col min="12" max="12" width="16.44140625" style="137" customWidth="1"/>
    <col min="13" max="13" width="10.77734375" style="137" customWidth="1"/>
    <col min="14" max="14" width="11.5546875" style="137" customWidth="1"/>
    <col min="15" max="15" width="12.77734375" style="137" customWidth="1"/>
    <col min="16" max="16" width="13.44140625" style="137" customWidth="1"/>
    <col min="17" max="18" width="12.44140625" style="137" customWidth="1"/>
    <col min="19" max="19" width="13.77734375" style="137" customWidth="1"/>
    <col min="20" max="20" width="13.44140625" style="137" customWidth="1"/>
    <col min="21" max="16384" width="8.5546875" style="137"/>
  </cols>
  <sheetData>
    <row r="1" spans="1:19" ht="17.399999999999999" x14ac:dyDescent="0.3">
      <c r="A1" s="136" t="s">
        <v>140</v>
      </c>
      <c r="B1" s="136"/>
    </row>
    <row r="2" spans="1:19" s="138" customFormat="1" ht="15" customHeight="1" x14ac:dyDescent="0.3">
      <c r="B2" s="138" t="s">
        <v>47</v>
      </c>
      <c r="D2" s="139"/>
      <c r="E2" s="140"/>
    </row>
    <row r="3" spans="1:19" ht="15.6" x14ac:dyDescent="0.3">
      <c r="A3" s="141" t="s">
        <v>141</v>
      </c>
      <c r="C3" s="138"/>
      <c r="D3" s="139"/>
      <c r="E3" s="140"/>
      <c r="F3" s="138"/>
      <c r="G3" s="138"/>
      <c r="H3" s="138"/>
      <c r="I3" s="138"/>
      <c r="J3" s="138"/>
    </row>
    <row r="4" spans="1:19" ht="12.75" customHeight="1" x14ac:dyDescent="0.3">
      <c r="A4" s="138"/>
      <c r="C4" s="138"/>
      <c r="D4" s="139"/>
      <c r="E4" s="140"/>
      <c r="F4" s="138"/>
      <c r="G4" s="138"/>
      <c r="H4" s="138"/>
      <c r="I4" s="138"/>
      <c r="J4" s="138"/>
    </row>
    <row r="5" spans="1:19" ht="15.6" x14ac:dyDescent="0.3">
      <c r="B5" s="142" t="s">
        <v>49</v>
      </c>
    </row>
    <row r="6" spans="1:19" ht="12.75" customHeight="1" x14ac:dyDescent="0.3">
      <c r="C6" s="142"/>
      <c r="J6" s="143"/>
      <c r="L6" s="143"/>
      <c r="M6" s="144"/>
      <c r="N6" s="144"/>
      <c r="O6" s="144"/>
      <c r="P6" s="144"/>
      <c r="Q6" s="144"/>
      <c r="S6" s="145"/>
    </row>
    <row r="7" spans="1:19" x14ac:dyDescent="0.25">
      <c r="A7" s="146" t="s">
        <v>11</v>
      </c>
      <c r="B7" s="147" t="s">
        <v>50</v>
      </c>
      <c r="C7" s="147" t="s">
        <v>12</v>
      </c>
      <c r="D7" s="148" t="s">
        <v>51</v>
      </c>
      <c r="E7" s="148" t="s">
        <v>52</v>
      </c>
      <c r="F7" s="143"/>
      <c r="G7" s="143"/>
      <c r="H7" s="149" t="s">
        <v>53</v>
      </c>
      <c r="I7" s="150">
        <f>D50</f>
        <v>59150</v>
      </c>
      <c r="J7" s="143"/>
      <c r="L7" s="137" t="s">
        <v>54</v>
      </c>
      <c r="M7" s="137" t="s">
        <v>132</v>
      </c>
      <c r="S7" s="145"/>
    </row>
    <row r="8" spans="1:19" x14ac:dyDescent="0.25">
      <c r="A8" s="151" t="s">
        <v>13</v>
      </c>
      <c r="B8" s="152"/>
      <c r="C8" s="152"/>
      <c r="D8" s="153" t="s">
        <v>60</v>
      </c>
      <c r="E8" s="148" t="s">
        <v>61</v>
      </c>
      <c r="G8" s="154"/>
      <c r="H8" s="155" t="s">
        <v>62</v>
      </c>
      <c r="I8" s="150">
        <f ca="1">C33</f>
        <v>10987.735000000001</v>
      </c>
      <c r="J8" s="154"/>
      <c r="K8" s="154"/>
      <c r="L8" s="137" t="s">
        <v>63</v>
      </c>
      <c r="M8" s="137">
        <v>20.8</v>
      </c>
      <c r="N8" s="137">
        <f>243*20.8</f>
        <v>5054.4000000000005</v>
      </c>
      <c r="P8" s="145"/>
      <c r="S8" s="145"/>
    </row>
    <row r="9" spans="1:19" x14ac:dyDescent="0.25">
      <c r="A9" s="206" t="s">
        <v>14</v>
      </c>
      <c r="B9" s="152">
        <f>C9/12</f>
        <v>897.83831411530809</v>
      </c>
      <c r="C9" s="156">
        <f>0.912*11606*153.6/150.9</f>
        <v>10774.059769383697</v>
      </c>
      <c r="D9" s="157">
        <f>C9/C20</f>
        <v>0.16601335213102345</v>
      </c>
      <c r="E9" s="157">
        <f>C9/D50</f>
        <v>0.18214809415695177</v>
      </c>
      <c r="F9" s="158"/>
      <c r="G9" s="154"/>
      <c r="H9" s="159" t="s">
        <v>64</v>
      </c>
      <c r="I9" s="160">
        <f ca="1">I7+I8</f>
        <v>70137.735000000001</v>
      </c>
      <c r="J9" s="143"/>
      <c r="K9" s="154"/>
      <c r="L9" s="137" t="s">
        <v>133</v>
      </c>
      <c r="M9" s="137">
        <v>8.6</v>
      </c>
      <c r="N9" s="137">
        <f>182*8.6</f>
        <v>1565.2</v>
      </c>
      <c r="P9" s="145"/>
      <c r="Q9" s="161"/>
      <c r="S9" s="145"/>
    </row>
    <row r="10" spans="1:19" x14ac:dyDescent="0.25">
      <c r="A10" s="206" t="s">
        <v>15</v>
      </c>
      <c r="B10" s="152">
        <f>C10/12</f>
        <v>233.28594224598933</v>
      </c>
      <c r="C10" s="152">
        <f>2042*(93.7/93.5)*1.368</f>
        <v>2799.4313069518721</v>
      </c>
      <c r="D10" s="157">
        <f>C10/C20</f>
        <v>4.3135362646516739E-2</v>
      </c>
      <c r="E10" s="157">
        <f>C10/D50</f>
        <v>4.7327663684731562E-2</v>
      </c>
      <c r="F10" s="158"/>
      <c r="H10" s="162"/>
      <c r="I10" s="162"/>
      <c r="J10" s="154"/>
      <c r="K10" s="154"/>
      <c r="L10" s="137" t="s">
        <v>162</v>
      </c>
      <c r="M10" s="137">
        <v>20.8</v>
      </c>
      <c r="N10" s="137">
        <f>48*20.8</f>
        <v>998.40000000000009</v>
      </c>
      <c r="P10" s="145"/>
      <c r="Q10" s="161"/>
      <c r="S10" s="145"/>
    </row>
    <row r="11" spans="1:19" x14ac:dyDescent="0.25">
      <c r="A11" s="206" t="s">
        <v>16</v>
      </c>
      <c r="B11" s="152">
        <f>C11/12</f>
        <v>1233.1426897256276</v>
      </c>
      <c r="C11" s="163">
        <f>(1150*12)+(487.63*(163.4/114.2))+(25*12)</f>
        <v>14797.712276707531</v>
      </c>
      <c r="D11" s="157">
        <f>C11/C20</f>
        <v>0.22801226942396483</v>
      </c>
      <c r="E11" s="157">
        <f>C11/D50</f>
        <v>0.25017265049378751</v>
      </c>
      <c r="F11" s="137">
        <f>1089-1187</f>
        <v>-98</v>
      </c>
      <c r="G11" s="154"/>
      <c r="H11" s="141" t="s">
        <v>67</v>
      </c>
      <c r="I11" s="164">
        <f ca="1">B55+C55+B56+C56</f>
        <v>1459.3212000000003</v>
      </c>
      <c r="J11" s="143"/>
      <c r="K11" s="154"/>
      <c r="N11" s="137">
        <f>SUM(N8:N10)</f>
        <v>7618</v>
      </c>
      <c r="P11" s="145"/>
      <c r="Q11" s="161"/>
      <c r="S11" s="145"/>
    </row>
    <row r="12" spans="1:19" x14ac:dyDescent="0.25">
      <c r="A12" s="206" t="s">
        <v>17</v>
      </c>
      <c r="B12" s="152">
        <f>C12/12</f>
        <v>518.5605562855892</v>
      </c>
      <c r="C12" s="156">
        <f>(4817*167.8/152.2)+(12*76)</f>
        <v>6222.7266754270704</v>
      </c>
      <c r="D12" s="157">
        <f>C12/C20</f>
        <v>9.5883607191264014E-2</v>
      </c>
      <c r="E12" s="157">
        <f>C11/D50</f>
        <v>0.25017265049378751</v>
      </c>
      <c r="F12" s="158"/>
      <c r="H12" s="164" t="s">
        <v>68</v>
      </c>
      <c r="I12" s="164">
        <f ca="1">C33</f>
        <v>10987.735000000001</v>
      </c>
      <c r="J12" s="145"/>
      <c r="K12" s="154"/>
      <c r="L12" s="137" t="s">
        <v>69</v>
      </c>
      <c r="N12" s="137">
        <f>11.95*3.5*26</f>
        <v>1087.4499999999998</v>
      </c>
      <c r="P12" s="145"/>
      <c r="Q12" s="161"/>
      <c r="S12" s="145"/>
    </row>
    <row r="13" spans="1:19" x14ac:dyDescent="0.25">
      <c r="A13" s="206" t="s">
        <v>18</v>
      </c>
      <c r="B13" s="152">
        <f>C13/12</f>
        <v>1343.6628654545455</v>
      </c>
      <c r="C13" s="156">
        <f>'2022 2P2C WPG'!C13*1.368</f>
        <v>16123.954385454546</v>
      </c>
      <c r="D13" s="157">
        <f>C13/C20</f>
        <v>0.24844782509408192</v>
      </c>
      <c r="E13" s="157">
        <f>C13/D50</f>
        <v>0.27259432604318762</v>
      </c>
      <c r="G13" s="154"/>
      <c r="H13" s="160" t="s">
        <v>70</v>
      </c>
      <c r="I13" s="160">
        <f ca="1">I11-I12</f>
        <v>-9528.4138000000003</v>
      </c>
      <c r="J13" s="154"/>
      <c r="K13" s="154"/>
      <c r="L13" s="162"/>
      <c r="P13" s="145"/>
      <c r="Q13" s="161"/>
      <c r="S13" s="145"/>
    </row>
    <row r="14" spans="1:19" s="167" customFormat="1" x14ac:dyDescent="0.25">
      <c r="A14" s="153" t="s">
        <v>19</v>
      </c>
      <c r="B14" s="165">
        <f>SUM(B9:B13)</f>
        <v>4226.4903678270603</v>
      </c>
      <c r="C14" s="165">
        <f>SUM(C9:C13)</f>
        <v>50717.884413924716</v>
      </c>
      <c r="D14" s="166">
        <f>C14/C20</f>
        <v>0.78149241648685086</v>
      </c>
      <c r="E14" s="166">
        <f>C14/D50</f>
        <v>0.85744521409847363</v>
      </c>
      <c r="G14" s="160"/>
      <c r="H14" s="164" t="s">
        <v>71</v>
      </c>
      <c r="I14" s="164">
        <f>B53+C53+B54+C54</f>
        <v>3776.7450000000003</v>
      </c>
      <c r="J14" s="160"/>
      <c r="K14" s="160"/>
      <c r="L14" s="162"/>
      <c r="M14" s="137"/>
      <c r="N14" s="137"/>
      <c r="O14" s="137"/>
      <c r="P14" s="145"/>
      <c r="Q14" s="161"/>
      <c r="R14" s="137"/>
      <c r="S14" s="145"/>
    </row>
    <row r="15" spans="1:19" x14ac:dyDescent="0.25">
      <c r="A15" s="206" t="s">
        <v>20</v>
      </c>
      <c r="B15" s="152">
        <f>C15/12</f>
        <v>634.83333333333337</v>
      </c>
      <c r="C15" s="156">
        <f>N11</f>
        <v>7618</v>
      </c>
      <c r="D15" s="157">
        <f>C15/C20</f>
        <v>0.11738283837332748</v>
      </c>
      <c r="E15" s="157">
        <f>C15/D50</f>
        <v>0.12879120879120878</v>
      </c>
      <c r="G15" s="154"/>
      <c r="H15" s="167" t="s">
        <v>72</v>
      </c>
      <c r="I15" s="160">
        <f ca="1">I13+I14</f>
        <v>-5751.6687999999995</v>
      </c>
      <c r="J15" s="154"/>
      <c r="K15" s="154"/>
      <c r="L15" s="162"/>
      <c r="M15" s="168"/>
      <c r="N15" s="168"/>
      <c r="P15" s="145"/>
      <c r="Q15" s="161"/>
      <c r="S15" s="145"/>
    </row>
    <row r="16" spans="1:19" x14ac:dyDescent="0.25">
      <c r="A16" s="206" t="s">
        <v>21</v>
      </c>
      <c r="B16" s="152">
        <f>C16/12</f>
        <v>0</v>
      </c>
      <c r="C16" s="152">
        <v>0</v>
      </c>
      <c r="D16" s="169">
        <f>C16/C20</f>
        <v>0</v>
      </c>
      <c r="E16" s="169">
        <f>C16/D50</f>
        <v>0</v>
      </c>
      <c r="H16" s="154"/>
      <c r="I16" s="154"/>
      <c r="J16" s="154"/>
      <c r="K16" s="154"/>
      <c r="L16" s="162"/>
      <c r="P16" s="145"/>
      <c r="Q16" s="161"/>
      <c r="S16" s="145"/>
    </row>
    <row r="17" spans="1:28" x14ac:dyDescent="0.25">
      <c r="A17" s="206" t="s">
        <v>22</v>
      </c>
      <c r="B17" s="152">
        <f>C17/12</f>
        <v>198.29999999999998</v>
      </c>
      <c r="C17" s="152">
        <f>(75.15+61.35+41.35+20.45)*12</f>
        <v>2379.6</v>
      </c>
      <c r="D17" s="157">
        <f>C17/C20</f>
        <v>3.6666343160038077E-2</v>
      </c>
      <c r="E17" s="157">
        <f>C17/D50</f>
        <v>4.0229923922231611E-2</v>
      </c>
      <c r="G17" s="160"/>
      <c r="I17" s="154"/>
      <c r="J17" s="154"/>
      <c r="K17" s="154"/>
      <c r="L17" s="162"/>
      <c r="P17" s="145"/>
      <c r="Q17" s="161"/>
      <c r="S17" s="145"/>
    </row>
    <row r="18" spans="1:28" x14ac:dyDescent="0.25">
      <c r="A18" s="206" t="s">
        <v>23</v>
      </c>
      <c r="B18" s="152">
        <f>C18/12</f>
        <v>159.02250000000001</v>
      </c>
      <c r="C18" s="156">
        <v>1908.27</v>
      </c>
      <c r="D18" s="157">
        <f>C18/C20</f>
        <v>2.9403800076485909E-2</v>
      </c>
      <c r="E18" s="157">
        <f>C18/D50</f>
        <v>3.226153846153846E-2</v>
      </c>
      <c r="F18" s="170"/>
      <c r="G18" s="171"/>
      <c r="H18" s="171"/>
      <c r="I18" s="171"/>
      <c r="J18" s="171"/>
      <c r="K18" s="171"/>
      <c r="L18" s="162"/>
      <c r="P18" s="145"/>
      <c r="Q18" s="161"/>
      <c r="S18" s="145"/>
    </row>
    <row r="19" spans="1:28" x14ac:dyDescent="0.25">
      <c r="A19" s="151" t="s">
        <v>24</v>
      </c>
      <c r="B19" s="152">
        <f>C19/12</f>
        <v>189.58333333333334</v>
      </c>
      <c r="C19" s="152">
        <f>B47*B48*2*2</f>
        <v>2275</v>
      </c>
      <c r="D19" s="157">
        <f>C19/C20</f>
        <v>3.5054601903297455E-2</v>
      </c>
      <c r="E19" s="157">
        <f>C19/D50</f>
        <v>3.8461538461538464E-2</v>
      </c>
      <c r="F19" s="170"/>
      <c r="G19" s="171"/>
      <c r="H19" s="171"/>
      <c r="I19" s="171"/>
      <c r="J19" s="171"/>
      <c r="K19" s="171"/>
      <c r="L19" s="162"/>
      <c r="P19" s="145"/>
      <c r="Q19" s="161"/>
      <c r="S19" s="145"/>
    </row>
    <row r="20" spans="1:28" x14ac:dyDescent="0.25">
      <c r="A20" s="151" t="s">
        <v>25</v>
      </c>
      <c r="B20" s="152">
        <f>SUM(B9:B19)-B14</f>
        <v>5408.2295344937265</v>
      </c>
      <c r="C20" s="152">
        <f>SUM(C9:C19)-C14</f>
        <v>64898.754413924726</v>
      </c>
      <c r="D20" s="157">
        <f>C20/C20</f>
        <v>1</v>
      </c>
      <c r="E20" s="157">
        <f>SUM(E9:E18)-E14</f>
        <v>1.2036980560474249</v>
      </c>
      <c r="F20" s="164"/>
      <c r="G20" s="164"/>
      <c r="H20" s="164"/>
      <c r="I20" s="164"/>
      <c r="J20" s="164"/>
      <c r="K20" s="172"/>
      <c r="L20" s="162"/>
      <c r="P20" s="145"/>
      <c r="Q20" s="161"/>
      <c r="S20" s="145"/>
    </row>
    <row r="21" spans="1:28" x14ac:dyDescent="0.25">
      <c r="B21" s="154"/>
      <c r="C21" s="154"/>
      <c r="D21" s="154"/>
      <c r="E21" s="154"/>
      <c r="F21" s="154"/>
      <c r="G21" s="154"/>
      <c r="H21" s="145"/>
      <c r="I21" s="154"/>
      <c r="J21" s="164"/>
      <c r="K21" s="154"/>
      <c r="L21" s="162"/>
      <c r="P21" s="145"/>
      <c r="Q21" s="161"/>
      <c r="S21" s="145"/>
    </row>
    <row r="22" spans="1:28" x14ac:dyDescent="0.25">
      <c r="B22" s="154"/>
      <c r="C22" s="154"/>
      <c r="L22" s="162"/>
      <c r="P22" s="145"/>
      <c r="Q22" s="161"/>
      <c r="S22" s="145"/>
    </row>
    <row r="23" spans="1:28" ht="15.6" x14ac:dyDescent="0.3">
      <c r="B23" s="142" t="s">
        <v>73</v>
      </c>
      <c r="L23" s="162"/>
      <c r="P23" s="145"/>
      <c r="Q23" s="161"/>
    </row>
    <row r="24" spans="1:28" ht="12.75" customHeight="1" x14ac:dyDescent="0.3">
      <c r="C24" s="142"/>
      <c r="L24" s="162"/>
      <c r="P24" s="145"/>
      <c r="Q24" s="161"/>
    </row>
    <row r="25" spans="1:28" x14ac:dyDescent="0.25">
      <c r="A25" s="173" t="s">
        <v>61</v>
      </c>
      <c r="B25" s="147" t="s">
        <v>50</v>
      </c>
      <c r="C25" s="147" t="s">
        <v>12</v>
      </c>
      <c r="D25" s="143"/>
      <c r="E25" s="170"/>
      <c r="F25" s="170"/>
      <c r="G25" s="170"/>
      <c r="H25" s="174"/>
      <c r="I25" s="143"/>
      <c r="J25" s="170"/>
      <c r="L25" s="162"/>
      <c r="P25" s="145"/>
      <c r="Q25" s="161"/>
    </row>
    <row r="26" spans="1:28" x14ac:dyDescent="0.25">
      <c r="A26" s="151"/>
      <c r="B26" s="175"/>
      <c r="C26" s="175"/>
      <c r="E26" s="176"/>
      <c r="F26" s="177"/>
      <c r="G26" s="177"/>
      <c r="H26" s="177"/>
      <c r="I26" s="164"/>
      <c r="J26" s="164"/>
      <c r="K26" s="141"/>
      <c r="L26" s="162"/>
      <c r="P26" s="145"/>
      <c r="Q26" s="161"/>
    </row>
    <row r="27" spans="1:28" x14ac:dyDescent="0.25">
      <c r="A27" s="151"/>
      <c r="B27" s="152"/>
      <c r="C27" s="152"/>
      <c r="E27" s="170" t="s">
        <v>74</v>
      </c>
      <c r="F27" s="170" t="s">
        <v>75</v>
      </c>
      <c r="G27" s="170" t="s">
        <v>76</v>
      </c>
      <c r="H27" s="174" t="s">
        <v>77</v>
      </c>
      <c r="K27" s="141"/>
      <c r="L27" s="162"/>
      <c r="P27" s="145"/>
      <c r="Q27" s="161"/>
    </row>
    <row r="28" spans="1:28" ht="17.100000000000001" customHeight="1" x14ac:dyDescent="0.25">
      <c r="A28" s="209" t="s">
        <v>27</v>
      </c>
      <c r="B28" s="175">
        <f ca="1">C28/12</f>
        <v>875.58208333333334</v>
      </c>
      <c r="C28" s="175">
        <f ca="1">MAX(0,E28)</f>
        <v>10506.985000000001</v>
      </c>
      <c r="D28" s="149"/>
      <c r="E28" s="176">
        <f ca="1">IF((D52)&lt;F28,(5765+6833),IF((D52)&lt;G28,(5765+6833-(D52-F28)*0.135),(5765+6833-(G28-F28)*0.135-(D52-G28)*0.057-5044)))</f>
        <v>10506.985000000001</v>
      </c>
      <c r="F28" s="177">
        <v>32028</v>
      </c>
      <c r="G28" s="177">
        <v>69395</v>
      </c>
      <c r="H28" s="177">
        <v>67427</v>
      </c>
      <c r="K28" s="178"/>
      <c r="L28" s="179"/>
      <c r="M28" s="179"/>
      <c r="N28" s="179"/>
      <c r="P28" s="162"/>
      <c r="Q28" s="154"/>
      <c r="R28" s="154"/>
      <c r="S28" s="154"/>
      <c r="T28" s="145"/>
      <c r="U28" s="161"/>
      <c r="W28" s="162"/>
      <c r="AA28" s="145"/>
      <c r="AB28" s="161"/>
    </row>
    <row r="29" spans="1:28" x14ac:dyDescent="0.25">
      <c r="A29" s="206" t="s">
        <v>78</v>
      </c>
      <c r="B29" s="152">
        <f>C29/12</f>
        <v>0</v>
      </c>
      <c r="C29" s="152">
        <v>0</v>
      </c>
      <c r="E29" s="170" t="s">
        <v>79</v>
      </c>
      <c r="F29" s="170" t="s">
        <v>80</v>
      </c>
      <c r="G29" s="170" t="s">
        <v>81</v>
      </c>
      <c r="H29" s="154"/>
      <c r="I29" s="154"/>
      <c r="L29" s="162"/>
      <c r="P29" s="145"/>
      <c r="Q29" s="161"/>
    </row>
    <row r="30" spans="1:28" x14ac:dyDescent="0.25">
      <c r="A30" s="206" t="s">
        <v>28</v>
      </c>
      <c r="B30" s="152">
        <f ca="1">C30/12</f>
        <v>40.0625</v>
      </c>
      <c r="C30" s="152">
        <f ca="1">G30</f>
        <v>480.75</v>
      </c>
      <c r="E30" s="180">
        <f>299+299+157+157</f>
        <v>912</v>
      </c>
      <c r="F30" s="181">
        <f ca="1">IF((D52-38892)*0.05&gt;0,(D52-C27-38892)*0.05,0)</f>
        <v>431.25</v>
      </c>
      <c r="G30" s="164">
        <f ca="1">IF(E30&gt;F30,E30-F30,0)</f>
        <v>480.75</v>
      </c>
      <c r="H30" s="154"/>
      <c r="I30" s="154"/>
      <c r="K30" s="141"/>
      <c r="L30" s="162"/>
      <c r="P30" s="145"/>
      <c r="Q30" s="161"/>
    </row>
    <row r="31" spans="1:28" x14ac:dyDescent="0.25">
      <c r="A31" s="206" t="s">
        <v>29</v>
      </c>
      <c r="B31" s="152">
        <f ca="1">C31/12</f>
        <v>0</v>
      </c>
      <c r="C31" s="152">
        <f ca="1">IF(C15&gt;F34,C15-F34,0)</f>
        <v>0</v>
      </c>
      <c r="D31" s="164"/>
      <c r="E31" s="164" t="s">
        <v>74</v>
      </c>
      <c r="F31" s="164"/>
      <c r="H31" s="154"/>
      <c r="J31" s="154"/>
      <c r="K31" s="141"/>
      <c r="L31" s="162"/>
      <c r="P31" s="145"/>
    </row>
    <row r="32" spans="1:28" x14ac:dyDescent="0.25">
      <c r="A32" s="206" t="s">
        <v>82</v>
      </c>
      <c r="B32" s="152">
        <f ca="1">E32</f>
        <v>0</v>
      </c>
      <c r="C32" s="152">
        <f ca="1">E32*12</f>
        <v>0</v>
      </c>
      <c r="D32" s="164"/>
      <c r="E32" s="164">
        <f ca="1">IF(D52&lt;39680,(0.8*1292-D52*0.3/12),0)</f>
        <v>0</v>
      </c>
      <c r="F32" s="164"/>
      <c r="H32" s="154"/>
      <c r="J32" s="154"/>
      <c r="K32" s="141"/>
      <c r="L32" s="162"/>
      <c r="P32" s="145"/>
    </row>
    <row r="33" spans="1:16" x14ac:dyDescent="0.25">
      <c r="A33" s="151" t="s">
        <v>25</v>
      </c>
      <c r="B33" s="152">
        <f ca="1">SUM(B26:B31)</f>
        <v>915.64458333333334</v>
      </c>
      <c r="C33" s="152">
        <f ca="1">SUM(C26:C31)</f>
        <v>10987.735000000001</v>
      </c>
      <c r="E33" s="170" t="s">
        <v>83</v>
      </c>
      <c r="F33" s="170" t="s">
        <v>84</v>
      </c>
      <c r="G33" s="170"/>
      <c r="H33" s="154"/>
      <c r="I33" s="154"/>
      <c r="L33" s="162"/>
    </row>
    <row r="34" spans="1:16" x14ac:dyDescent="0.25">
      <c r="B34" s="154"/>
      <c r="C34" s="154"/>
      <c r="E34" s="180">
        <f>17520+9503+5627*2</f>
        <v>38277</v>
      </c>
      <c r="F34" s="180">
        <f ca="1">IF(IF((D52-E34+7766*2)&lt;0,(D52-E34)*0.25,(D52-E34+7766*2)*0.5+1942*2)&gt;0,IF((D52-E34+7766*2)&lt;0,(D52-E34)*0.25,(D52-E34+7766*2)*0.5+1942*2),0)</f>
        <v>16270</v>
      </c>
      <c r="H34" s="154"/>
      <c r="I34" s="154"/>
      <c r="L34" s="143"/>
      <c r="M34" s="144"/>
      <c r="N34" s="144"/>
      <c r="O34" s="144"/>
      <c r="P34" s="182"/>
    </row>
    <row r="35" spans="1:16" x14ac:dyDescent="0.25">
      <c r="B35" s="154"/>
      <c r="C35" s="154"/>
      <c r="P35" s="154"/>
    </row>
    <row r="36" spans="1:16" ht="15.6" x14ac:dyDescent="0.3">
      <c r="B36" s="142" t="s">
        <v>85</v>
      </c>
    </row>
    <row r="37" spans="1:16" ht="12.75" customHeight="1" x14ac:dyDescent="0.25">
      <c r="A37" s="138"/>
    </row>
    <row r="38" spans="1:16" ht="12.75" customHeight="1" x14ac:dyDescent="0.3">
      <c r="A38" s="183"/>
      <c r="B38" s="147"/>
      <c r="C38" s="147" t="s">
        <v>12</v>
      </c>
      <c r="D38" s="143"/>
      <c r="E38" s="143"/>
      <c r="F38" s="143"/>
      <c r="G38" s="143"/>
      <c r="H38" s="143"/>
      <c r="I38" s="143"/>
    </row>
    <row r="39" spans="1:16" x14ac:dyDescent="0.25">
      <c r="A39" s="151" t="s">
        <v>31</v>
      </c>
      <c r="B39" s="152"/>
      <c r="C39" s="152">
        <f ca="1">C33+D57</f>
        <v>64901.668799999999</v>
      </c>
      <c r="H39" s="154"/>
      <c r="I39" s="154"/>
    </row>
    <row r="40" spans="1:16" x14ac:dyDescent="0.25">
      <c r="A40" s="151" t="s">
        <v>32</v>
      </c>
      <c r="B40" s="152"/>
      <c r="C40" s="152">
        <f>C20</f>
        <v>64898.754413924726</v>
      </c>
      <c r="H40" s="154"/>
      <c r="I40" s="154"/>
    </row>
    <row r="41" spans="1:16" x14ac:dyDescent="0.25">
      <c r="A41" s="151" t="s">
        <v>33</v>
      </c>
      <c r="B41" s="152"/>
      <c r="C41" s="152">
        <f ca="1">C39-C40</f>
        <v>2.9143860752737965</v>
      </c>
      <c r="H41" s="154"/>
      <c r="I41" s="154"/>
    </row>
    <row r="42" spans="1:16" x14ac:dyDescent="0.25">
      <c r="B42" s="154"/>
      <c r="C42" s="154"/>
      <c r="H42" s="154"/>
      <c r="I42" s="154"/>
    </row>
    <row r="43" spans="1:16" x14ac:dyDescent="0.25">
      <c r="B43" s="154"/>
      <c r="C43" s="154"/>
      <c r="E43" s="154"/>
      <c r="H43" s="154"/>
      <c r="I43" s="154"/>
    </row>
    <row r="44" spans="1:16" ht="15.6" x14ac:dyDescent="0.3">
      <c r="B44" s="184" t="s">
        <v>86</v>
      </c>
    </row>
    <row r="45" spans="1:16" x14ac:dyDescent="0.25">
      <c r="B45" s="143"/>
    </row>
    <row r="46" spans="1:16" s="162" customFormat="1" x14ac:dyDescent="0.25">
      <c r="A46" s="147"/>
      <c r="B46" s="147" t="s">
        <v>34</v>
      </c>
      <c r="C46" s="147" t="s">
        <v>87</v>
      </c>
      <c r="D46" s="147" t="s">
        <v>25</v>
      </c>
      <c r="F46" s="137"/>
      <c r="G46" s="137"/>
      <c r="H46" s="137"/>
      <c r="I46" s="185"/>
    </row>
    <row r="47" spans="1:16" x14ac:dyDescent="0.25">
      <c r="A47" s="151" t="s">
        <v>35</v>
      </c>
      <c r="B47" s="151">
        <v>35</v>
      </c>
      <c r="C47" s="186">
        <v>35</v>
      </c>
      <c r="D47" s="151">
        <f>B47+C47</f>
        <v>70</v>
      </c>
      <c r="I47" s="154"/>
    </row>
    <row r="48" spans="1:16" x14ac:dyDescent="0.25">
      <c r="A48" s="151" t="s">
        <v>36</v>
      </c>
      <c r="B48" s="187">
        <v>16.25</v>
      </c>
      <c r="C48" s="188">
        <f>B48</f>
        <v>16.25</v>
      </c>
      <c r="D48" s="151"/>
      <c r="I48" s="154"/>
    </row>
    <row r="49" spans="1:18" ht="1.5" customHeight="1" x14ac:dyDescent="0.25">
      <c r="A49" s="146"/>
      <c r="B49" s="146">
        <v>14</v>
      </c>
      <c r="C49" s="147"/>
      <c r="D49" s="146"/>
      <c r="I49" s="182"/>
    </row>
    <row r="50" spans="1:18" x14ac:dyDescent="0.25">
      <c r="A50" s="151" t="s">
        <v>37</v>
      </c>
      <c r="B50" s="152">
        <f>B48*B47*52</f>
        <v>29575</v>
      </c>
      <c r="C50" s="152">
        <f>C48*C47*52</f>
        <v>29575</v>
      </c>
      <c r="D50" s="152">
        <f>B50+C50</f>
        <v>59150</v>
      </c>
      <c r="F50" s="170" t="s">
        <v>88</v>
      </c>
      <c r="I50" s="154"/>
      <c r="J50" s="137" t="s">
        <v>142</v>
      </c>
      <c r="K50" s="137" t="s">
        <v>88</v>
      </c>
    </row>
    <row r="51" spans="1:18" x14ac:dyDescent="0.25">
      <c r="A51" s="151" t="s">
        <v>38</v>
      </c>
      <c r="B51" s="152">
        <f ca="1">C27-C15+C31-J51</f>
        <v>-9625.5</v>
      </c>
      <c r="C51" s="152">
        <f>-J51</f>
        <v>-2007.5</v>
      </c>
      <c r="D51" s="152">
        <f ca="1">B51+C51</f>
        <v>-11633</v>
      </c>
      <c r="F51" s="170" t="s">
        <v>89</v>
      </c>
      <c r="G51" s="170" t="s">
        <v>90</v>
      </c>
      <c r="H51" s="170" t="s">
        <v>91</v>
      </c>
      <c r="I51" s="170" t="s">
        <v>92</v>
      </c>
      <c r="J51" s="137">
        <f>5.5*365</f>
        <v>2007.5</v>
      </c>
      <c r="K51" s="137" t="s">
        <v>89</v>
      </c>
      <c r="L51" s="170" t="s">
        <v>93</v>
      </c>
      <c r="M51" s="170" t="s">
        <v>94</v>
      </c>
      <c r="N51" s="170" t="s">
        <v>95</v>
      </c>
      <c r="O51" s="170" t="s">
        <v>96</v>
      </c>
      <c r="P51" s="170" t="s">
        <v>97</v>
      </c>
      <c r="Q51" s="170" t="s">
        <v>98</v>
      </c>
      <c r="R51" s="167" t="s">
        <v>163</v>
      </c>
    </row>
    <row r="52" spans="1:18" x14ac:dyDescent="0.25">
      <c r="A52" s="151" t="s">
        <v>39</v>
      </c>
      <c r="B52" s="152">
        <f ca="1">B50+B51</f>
        <v>19949.5</v>
      </c>
      <c r="C52" s="152">
        <f>C50+C51</f>
        <v>27567.5</v>
      </c>
      <c r="D52" s="152">
        <f t="shared" ref="D52:D58" ca="1" si="0">B52+C52</f>
        <v>47517</v>
      </c>
      <c r="F52" s="189">
        <v>1</v>
      </c>
      <c r="G52" s="180">
        <f ca="1">B52*0.15</f>
        <v>2992.4249999999997</v>
      </c>
      <c r="H52" s="180">
        <f ca="1">(L52+B53+B54+M52+N52)*0.15</f>
        <v>2810.1731249999993</v>
      </c>
      <c r="I52" s="190">
        <f ca="1">IF(O52&gt;0, O52,0)+P52+Q52</f>
        <v>792</v>
      </c>
      <c r="K52" s="137">
        <v>1</v>
      </c>
      <c r="L52" s="154">
        <v>13808</v>
      </c>
      <c r="M52" s="154">
        <v>1257</v>
      </c>
      <c r="N52" s="137">
        <f ca="1">IF(C17-B52*0.03&gt;0,C17-B52*0.03,0)</f>
        <v>1781.1149999999998</v>
      </c>
      <c r="O52" s="137">
        <f>MAX(IF((D50-3000)*0.27&lt;2403,(D50-3000)*0.27,2403)-IF(D50-26177&gt;0,D50-26177,0)*0.15,0)</f>
        <v>0</v>
      </c>
      <c r="P52" s="137">
        <f ca="1">IF((0.25*N52 - 0.05*(D52-28446))&gt;0,(0.25*N52 - 0.05*(D52-28446)),0)</f>
        <v>0</v>
      </c>
      <c r="Q52" s="137">
        <f>360+180+90+90+(360+180+90+90)*0.1</f>
        <v>792</v>
      </c>
    </row>
    <row r="53" spans="1:18" x14ac:dyDescent="0.25">
      <c r="A53" s="206" t="s">
        <v>40</v>
      </c>
      <c r="B53" s="152">
        <f>IF(B50*0.0158&lt;889.54,B50*0.0158,889.54)</f>
        <v>467.28500000000003</v>
      </c>
      <c r="C53" s="152">
        <f>IF(C50*0.0158&lt;889.54,C50*0.0158,889.54)</f>
        <v>467.28500000000003</v>
      </c>
      <c r="D53" s="152">
        <f t="shared" si="0"/>
        <v>934.57</v>
      </c>
      <c r="F53" s="189">
        <v>2</v>
      </c>
      <c r="G53" s="180">
        <f>C52*0.15</f>
        <v>4135.125</v>
      </c>
      <c r="H53" s="180">
        <f>(L53+C53+C54+M53+C18+R53)*0.15</f>
        <v>3070.4868749999996</v>
      </c>
      <c r="I53" s="154"/>
      <c r="K53" s="137">
        <v>2</v>
      </c>
      <c r="L53" s="154">
        <v>13808</v>
      </c>
      <c r="M53" s="154">
        <v>1257</v>
      </c>
      <c r="R53" s="137">
        <v>1608.27</v>
      </c>
    </row>
    <row r="54" spans="1:18" x14ac:dyDescent="0.25">
      <c r="A54" s="206" t="s">
        <v>41</v>
      </c>
      <c r="B54" s="152">
        <f>IF(((B50-3500)*0.0545)&lt;3166.45,(B50-3500)*0.0545,3166.45)</f>
        <v>1421.0875000000001</v>
      </c>
      <c r="C54" s="152">
        <f>IF(((C50-3500)*0.0545)&lt;3166.45,(C50-3500)*0.0545,3166.45)</f>
        <v>1421.0875000000001</v>
      </c>
      <c r="D54" s="152">
        <f t="shared" si="0"/>
        <v>2842.1750000000002</v>
      </c>
    </row>
    <row r="55" spans="1:18" x14ac:dyDescent="0.25">
      <c r="A55" s="206" t="s">
        <v>42</v>
      </c>
      <c r="B55" s="152">
        <f ca="1">IF(G52-H52&lt;0,0,G52-H52)-I52</f>
        <v>-609.74812499999962</v>
      </c>
      <c r="C55" s="152">
        <f>IF(G53-H53&lt;0,0,G53-H53)</f>
        <v>1064.6381250000004</v>
      </c>
      <c r="D55" s="152">
        <f t="shared" ca="1" si="0"/>
        <v>454.89000000000078</v>
      </c>
      <c r="E55" s="167"/>
      <c r="F55" s="170" t="s">
        <v>99</v>
      </c>
      <c r="I55" s="154"/>
      <c r="K55" s="170" t="s">
        <v>99</v>
      </c>
    </row>
    <row r="56" spans="1:18" x14ac:dyDescent="0.25">
      <c r="A56" s="206" t="s">
        <v>43</v>
      </c>
      <c r="B56" s="152">
        <f ca="1">IF(G57-H57&lt;0,0,G57-H57)-I57</f>
        <v>656.04248999999982</v>
      </c>
      <c r="C56" s="152">
        <f ca="1">IF(G58-H58&lt;0,0,G58-H58)-I58</f>
        <v>348.38870999999972</v>
      </c>
      <c r="D56" s="152">
        <f t="shared" ca="1" si="0"/>
        <v>1004.4311999999995</v>
      </c>
      <c r="E56" s="164"/>
      <c r="F56" s="170" t="s">
        <v>89</v>
      </c>
      <c r="G56" s="170" t="s">
        <v>90</v>
      </c>
      <c r="H56" s="170" t="s">
        <v>91</v>
      </c>
      <c r="I56" s="170" t="s">
        <v>100</v>
      </c>
      <c r="K56" s="170" t="s">
        <v>89</v>
      </c>
      <c r="L56" s="170" t="s">
        <v>93</v>
      </c>
      <c r="M56" s="170" t="s">
        <v>101</v>
      </c>
      <c r="N56" s="170" t="s">
        <v>102</v>
      </c>
      <c r="O56" s="170" t="s">
        <v>95</v>
      </c>
      <c r="P56" s="170" t="s">
        <v>103</v>
      </c>
      <c r="Q56" s="170" t="s">
        <v>104</v>
      </c>
    </row>
    <row r="57" spans="1:18" x14ac:dyDescent="0.25">
      <c r="A57" s="151" t="s">
        <v>44</v>
      </c>
      <c r="B57" s="152">
        <f ca="1">B50-SUM(B53:B56)</f>
        <v>27640.333135000001</v>
      </c>
      <c r="C57" s="152">
        <f ca="1">C50-SUM(C53:C56)</f>
        <v>26273.600664999998</v>
      </c>
      <c r="D57" s="152">
        <f t="shared" ca="1" si="0"/>
        <v>53913.933799999999</v>
      </c>
      <c r="E57" s="154"/>
      <c r="F57" s="189">
        <v>1</v>
      </c>
      <c r="G57" s="180">
        <f ca="1">IF(B52&lt;33723,B52*0.108,(B52-33723)*0.1275+(33723*0.108))</f>
        <v>2154.5459999999998</v>
      </c>
      <c r="H57" s="180">
        <f ca="1">(L57+B53+B54+N57+O57)*0.108</f>
        <v>1498.50351</v>
      </c>
      <c r="I57" s="180">
        <v>0</v>
      </c>
      <c r="K57" s="137">
        <v>1</v>
      </c>
      <c r="L57" s="137">
        <v>9936</v>
      </c>
      <c r="N57" s="137">
        <f ca="1">IF(2065-B52*0.09&gt;0,2065-B52*0.09,0)</f>
        <v>269.54500000000007</v>
      </c>
      <c r="O57" s="137">
        <f ca="1">IF(C17-B52*0.03&gt;0,C17-B52*0.03,0)</f>
        <v>1781.1149999999998</v>
      </c>
    </row>
    <row r="58" spans="1:18" x14ac:dyDescent="0.25">
      <c r="A58" s="151" t="s">
        <v>45</v>
      </c>
      <c r="B58" s="152">
        <f ca="1">B57/12</f>
        <v>2303.3610945833334</v>
      </c>
      <c r="C58" s="152">
        <f ca="1">C57/12</f>
        <v>2189.466722083333</v>
      </c>
      <c r="D58" s="152">
        <f t="shared" ca="1" si="0"/>
        <v>4492.827816666666</v>
      </c>
      <c r="F58" s="189">
        <v>2</v>
      </c>
      <c r="G58" s="180">
        <f>IF(C52&lt;33723,C52*0.108,(C52-33723)*0.1275+(33723*0.108))</f>
        <v>2977.29</v>
      </c>
      <c r="H58" s="180">
        <f>(L58+C53+C54+M58+N58)*0.108</f>
        <v>2103.9012900000002</v>
      </c>
      <c r="I58" s="180">
        <f ca="1">P58+Q58</f>
        <v>525</v>
      </c>
      <c r="K58" s="137">
        <v>2</v>
      </c>
      <c r="L58" s="137">
        <v>9936</v>
      </c>
      <c r="M58" s="154">
        <f>1608.27+120*8</f>
        <v>2568.27</v>
      </c>
      <c r="N58" s="137">
        <f>IF(2065+2752*2-C52*0.09&gt;0,2065+2752*2-C52*0.09,0)</f>
        <v>5087.9250000000002</v>
      </c>
      <c r="P58" s="137">
        <f ca="1">IF(195+195+26+26-(D52*0.01)&gt;0,195+195+26+26-(D52*0.01),0)</f>
        <v>0</v>
      </c>
      <c r="Q58" s="137">
        <f ca="1">525-(IF(C32&gt;525,525,C32))</f>
        <v>525</v>
      </c>
    </row>
    <row r="59" spans="1:18" x14ac:dyDescent="0.25">
      <c r="B59" s="154"/>
      <c r="C59" s="154"/>
      <c r="D59" s="154"/>
    </row>
    <row r="60" spans="1:18" x14ac:dyDescent="0.25">
      <c r="B60" s="154"/>
      <c r="C60" s="154"/>
      <c r="D60" s="154"/>
    </row>
    <row r="61" spans="1:18" s="144" customFormat="1" ht="15.6" x14ac:dyDescent="0.3">
      <c r="B61" s="142" t="s">
        <v>105</v>
      </c>
    </row>
    <row r="63" spans="1:18" x14ac:dyDescent="0.25">
      <c r="A63" s="137" t="s">
        <v>106</v>
      </c>
      <c r="D63" s="154">
        <f>D50</f>
        <v>59150</v>
      </c>
    </row>
    <row r="64" spans="1:18" x14ac:dyDescent="0.25">
      <c r="A64" s="137" t="s">
        <v>107</v>
      </c>
      <c r="D64" s="154">
        <f ca="1">SUM(B53:B56)+SUM(C53:C56)</f>
        <v>5236.0662000000011</v>
      </c>
    </row>
    <row r="65" spans="1:9" x14ac:dyDescent="0.25">
      <c r="A65" s="137" t="s">
        <v>108</v>
      </c>
      <c r="D65" s="154">
        <f ca="1">D63-D64</f>
        <v>53913.933799999999</v>
      </c>
    </row>
    <row r="66" spans="1:9" x14ac:dyDescent="0.25">
      <c r="A66" s="137" t="s">
        <v>109</v>
      </c>
      <c r="D66" s="154">
        <f ca="1">C33</f>
        <v>10987.735000000001</v>
      </c>
    </row>
    <row r="67" spans="1:9" x14ac:dyDescent="0.25">
      <c r="A67" s="137" t="s">
        <v>110</v>
      </c>
      <c r="D67" s="154">
        <f ca="1">D65+D66</f>
        <v>64901.668799999999</v>
      </c>
    </row>
    <row r="68" spans="1:9" x14ac:dyDescent="0.25">
      <c r="A68" s="137" t="s">
        <v>111</v>
      </c>
      <c r="D68" s="154">
        <f>C20</f>
        <v>64898.754413924726</v>
      </c>
    </row>
    <row r="69" spans="1:9" x14ac:dyDescent="0.25">
      <c r="A69" s="137" t="s">
        <v>112</v>
      </c>
      <c r="D69" s="154">
        <f ca="1">D67-D68</f>
        <v>2.9143860752737965</v>
      </c>
    </row>
    <row r="71" spans="1:9" ht="12.75" customHeight="1" x14ac:dyDescent="0.3">
      <c r="C71" s="142"/>
      <c r="E71" s="142"/>
      <c r="F71" s="142"/>
      <c r="G71" s="142"/>
      <c r="H71" s="142"/>
      <c r="I71" s="142"/>
    </row>
    <row r="72" spans="1:9" x14ac:dyDescent="0.25">
      <c r="B72" s="154"/>
    </row>
    <row r="73" spans="1:9" x14ac:dyDescent="0.25">
      <c r="A73" s="144"/>
      <c r="B73" s="162"/>
      <c r="C73" s="162"/>
      <c r="D73" s="162"/>
      <c r="E73" s="144"/>
      <c r="F73" s="144"/>
      <c r="G73" s="144"/>
      <c r="H73" s="144"/>
      <c r="I73" s="144"/>
    </row>
    <row r="74" spans="1:9" x14ac:dyDescent="0.25">
      <c r="B74" s="154"/>
      <c r="C74" s="191"/>
      <c r="D74" s="154"/>
    </row>
    <row r="75" spans="1:9" ht="15" x14ac:dyDescent="0.25">
      <c r="A75" s="138"/>
      <c r="B75" s="154"/>
      <c r="C75" s="191"/>
      <c r="D75" s="154"/>
    </row>
    <row r="76" spans="1:9" x14ac:dyDescent="0.25">
      <c r="B76" s="154"/>
      <c r="C76" s="192"/>
    </row>
    <row r="77" spans="1:9" x14ac:dyDescent="0.25">
      <c r="B77" s="154"/>
      <c r="C77" s="192"/>
    </row>
    <row r="78" spans="1:9" x14ac:dyDescent="0.25">
      <c r="B78" s="143"/>
      <c r="C78" s="143"/>
      <c r="D78" s="143"/>
      <c r="E78" s="143"/>
      <c r="F78" s="143"/>
    </row>
    <row r="79" spans="1:9" x14ac:dyDescent="0.25">
      <c r="B79" s="143"/>
      <c r="C79" s="143"/>
      <c r="D79" s="143"/>
      <c r="E79" s="143"/>
      <c r="F79" s="143"/>
    </row>
    <row r="80" spans="1:9" x14ac:dyDescent="0.25">
      <c r="B80" s="143"/>
      <c r="C80" s="143"/>
      <c r="D80" s="143"/>
      <c r="E80" s="143"/>
      <c r="F80" s="143"/>
    </row>
    <row r="81" spans="2:6" x14ac:dyDescent="0.25">
      <c r="D81" s="168"/>
      <c r="E81" s="168"/>
      <c r="F81" s="193"/>
    </row>
    <row r="82" spans="2:6" x14ac:dyDescent="0.25">
      <c r="D82" s="168"/>
      <c r="E82" s="168"/>
      <c r="F82" s="193"/>
    </row>
    <row r="83" spans="2:6" x14ac:dyDescent="0.25">
      <c r="D83" s="168"/>
      <c r="E83" s="168"/>
      <c r="F83" s="193"/>
    </row>
    <row r="84" spans="2:6" x14ac:dyDescent="0.25">
      <c r="D84" s="168"/>
      <c r="E84" s="168"/>
      <c r="F84" s="193"/>
    </row>
    <row r="87" spans="2:6" x14ac:dyDescent="0.25">
      <c r="B87" s="143"/>
      <c r="C87" s="143"/>
      <c r="D87" s="143"/>
      <c r="E87" s="143"/>
      <c r="F87" s="143"/>
    </row>
    <row r="88" spans="2:6" x14ac:dyDescent="0.25">
      <c r="B88" s="143"/>
      <c r="C88" s="143"/>
      <c r="D88" s="143"/>
      <c r="E88" s="143"/>
      <c r="F88" s="143"/>
    </row>
    <row r="89" spans="2:6" x14ac:dyDescent="0.25">
      <c r="B89" s="143"/>
      <c r="C89" s="143"/>
      <c r="D89" s="143"/>
      <c r="E89" s="143"/>
      <c r="F89" s="143"/>
    </row>
    <row r="90" spans="2:6" x14ac:dyDescent="0.25">
      <c r="D90" s="168"/>
      <c r="E90" s="168"/>
      <c r="F90" s="193"/>
    </row>
    <row r="91" spans="2:6" x14ac:dyDescent="0.25">
      <c r="D91" s="168"/>
      <c r="E91" s="168"/>
      <c r="F91" s="193"/>
    </row>
    <row r="92" spans="2:6" x14ac:dyDescent="0.25">
      <c r="D92" s="168"/>
      <c r="E92" s="168"/>
      <c r="F92" s="193"/>
    </row>
    <row r="93" spans="2:6" x14ac:dyDescent="0.25">
      <c r="D93" s="168"/>
      <c r="E93" s="168"/>
      <c r="F93" s="193"/>
    </row>
    <row r="94" spans="2:6" x14ac:dyDescent="0.25">
      <c r="B94" s="154"/>
      <c r="C94" s="191"/>
    </row>
    <row r="95" spans="2:6" x14ac:dyDescent="0.25">
      <c r="B95" s="154"/>
      <c r="C95" s="154"/>
      <c r="D95" s="154"/>
    </row>
    <row r="96" spans="2:6" x14ac:dyDescent="0.25">
      <c r="B96" s="154"/>
      <c r="C96" s="192"/>
    </row>
    <row r="97" spans="2:6" x14ac:dyDescent="0.25">
      <c r="B97" s="154"/>
      <c r="C97" s="192"/>
    </row>
    <row r="98" spans="2:6" x14ac:dyDescent="0.25">
      <c r="B98" s="143"/>
      <c r="C98" s="143"/>
      <c r="D98" s="143"/>
      <c r="E98" s="143"/>
      <c r="F98" s="143"/>
    </row>
    <row r="99" spans="2:6" x14ac:dyDescent="0.25">
      <c r="B99" s="143"/>
      <c r="C99" s="143"/>
      <c r="D99" s="143"/>
      <c r="E99" s="143"/>
      <c r="F99" s="143"/>
    </row>
    <row r="100" spans="2:6" x14ac:dyDescent="0.25">
      <c r="B100" s="143"/>
      <c r="C100" s="143"/>
      <c r="D100" s="143"/>
      <c r="E100" s="143"/>
      <c r="F100" s="143"/>
    </row>
    <row r="101" spans="2:6" x14ac:dyDescent="0.25">
      <c r="D101" s="168"/>
      <c r="E101" s="168"/>
      <c r="F101" s="193"/>
    </row>
    <row r="102" spans="2:6" x14ac:dyDescent="0.25">
      <c r="D102" s="168"/>
      <c r="E102" s="168"/>
      <c r="F102" s="193"/>
    </row>
    <row r="103" spans="2:6" x14ac:dyDescent="0.25">
      <c r="D103" s="168"/>
      <c r="E103" s="168"/>
      <c r="F103" s="193"/>
    </row>
    <row r="104" spans="2:6" x14ac:dyDescent="0.25">
      <c r="D104" s="168"/>
      <c r="E104" s="168"/>
      <c r="F104" s="193"/>
    </row>
    <row r="107" spans="2:6" x14ac:dyDescent="0.25">
      <c r="B107" s="143"/>
      <c r="C107" s="143"/>
      <c r="D107" s="143"/>
      <c r="E107" s="143"/>
      <c r="F107" s="143"/>
    </row>
    <row r="108" spans="2:6" x14ac:dyDescent="0.25">
      <c r="B108" s="143"/>
      <c r="C108" s="143"/>
      <c r="D108" s="143"/>
      <c r="E108" s="143"/>
      <c r="F108" s="143"/>
    </row>
    <row r="109" spans="2:6" x14ac:dyDescent="0.25">
      <c r="B109" s="143"/>
      <c r="C109" s="143"/>
      <c r="D109" s="143"/>
      <c r="E109" s="143"/>
      <c r="F109" s="143"/>
    </row>
    <row r="110" spans="2:6" x14ac:dyDescent="0.25">
      <c r="D110" s="168"/>
      <c r="E110" s="168"/>
      <c r="F110" s="193"/>
    </row>
    <row r="111" spans="2:6" x14ac:dyDescent="0.25">
      <c r="D111" s="168"/>
      <c r="E111" s="168"/>
      <c r="F111" s="193"/>
    </row>
    <row r="112" spans="2:6" x14ac:dyDescent="0.25">
      <c r="D112" s="168"/>
      <c r="E112" s="168"/>
      <c r="F112" s="193"/>
    </row>
    <row r="113" spans="4:6" x14ac:dyDescent="0.25">
      <c r="D113" s="168"/>
      <c r="E113" s="168"/>
      <c r="F113" s="193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13"/>
  <sheetViews>
    <sheetView workbookViewId="0">
      <selection activeCell="C11" sqref="C11"/>
    </sheetView>
  </sheetViews>
  <sheetFormatPr defaultColWidth="8.5546875" defaultRowHeight="13.2" x14ac:dyDescent="0.25"/>
  <cols>
    <col min="1" max="1" width="22.5546875" style="137" customWidth="1"/>
    <col min="2" max="2" width="8.5546875" style="137"/>
    <col min="3" max="3" width="11" style="137" customWidth="1"/>
    <col min="4" max="5" width="10.5546875" style="137" customWidth="1"/>
    <col min="6" max="6" width="12.44140625" style="137" customWidth="1"/>
    <col min="7" max="7" width="12.21875" style="137" customWidth="1"/>
    <col min="8" max="8" width="14" style="137" customWidth="1"/>
    <col min="9" max="9" width="8.44140625" style="137" customWidth="1"/>
    <col min="10" max="10" width="8.5546875" style="137"/>
    <col min="11" max="11" width="8.44140625" style="137" customWidth="1"/>
    <col min="12" max="12" width="16.44140625" style="137" customWidth="1"/>
    <col min="13" max="13" width="10.77734375" style="137" customWidth="1"/>
    <col min="14" max="14" width="11.5546875" style="137" customWidth="1"/>
    <col min="15" max="15" width="12.77734375" style="137" customWidth="1"/>
    <col min="16" max="16" width="13.44140625" style="137" customWidth="1"/>
    <col min="17" max="18" width="12.44140625" style="137" customWidth="1"/>
    <col min="19" max="19" width="13.77734375" style="137" customWidth="1"/>
    <col min="20" max="20" width="13.44140625" style="137" customWidth="1"/>
    <col min="21" max="16384" width="8.5546875" style="137"/>
  </cols>
  <sheetData>
    <row r="1" spans="1:19" ht="17.399999999999999" x14ac:dyDescent="0.3">
      <c r="A1" s="136" t="s">
        <v>143</v>
      </c>
      <c r="B1" s="136"/>
    </row>
    <row r="2" spans="1:19" s="138" customFormat="1" ht="15" customHeight="1" x14ac:dyDescent="0.3">
      <c r="B2" s="138" t="s">
        <v>47</v>
      </c>
      <c r="D2" s="139"/>
      <c r="E2" s="140"/>
    </row>
    <row r="3" spans="1:19" ht="15.6" x14ac:dyDescent="0.3">
      <c r="A3" s="141" t="s">
        <v>141</v>
      </c>
      <c r="C3" s="138"/>
      <c r="D3" s="139"/>
      <c r="E3" s="140"/>
      <c r="F3" s="138"/>
      <c r="G3" s="138"/>
      <c r="H3" s="138"/>
      <c r="I3" s="138"/>
      <c r="J3" s="138"/>
    </row>
    <row r="4" spans="1:19" ht="12.75" customHeight="1" x14ac:dyDescent="0.3">
      <c r="A4" s="138"/>
      <c r="C4" s="138"/>
      <c r="D4" s="139"/>
      <c r="E4" s="140"/>
      <c r="F4" s="138"/>
      <c r="G4" s="138"/>
      <c r="H4" s="138"/>
      <c r="I4" s="138"/>
      <c r="J4" s="138"/>
    </row>
    <row r="5" spans="1:19" ht="15.6" x14ac:dyDescent="0.3">
      <c r="B5" s="142" t="s">
        <v>49</v>
      </c>
    </row>
    <row r="6" spans="1:19" ht="12.75" customHeight="1" x14ac:dyDescent="0.3">
      <c r="C6" s="142"/>
      <c r="J6" s="143"/>
      <c r="L6" s="143"/>
      <c r="M6" s="144"/>
      <c r="N6" s="144"/>
      <c r="O6" s="144"/>
      <c r="P6" s="144"/>
      <c r="Q6" s="144"/>
      <c r="S6" s="145"/>
    </row>
    <row r="7" spans="1:19" x14ac:dyDescent="0.25">
      <c r="A7" s="146" t="s">
        <v>11</v>
      </c>
      <c r="B7" s="147" t="s">
        <v>50</v>
      </c>
      <c r="C7" s="147" t="s">
        <v>12</v>
      </c>
      <c r="D7" s="148" t="s">
        <v>51</v>
      </c>
      <c r="E7" s="148" t="s">
        <v>52</v>
      </c>
      <c r="F7" s="143"/>
      <c r="G7" s="143"/>
      <c r="H7" s="149" t="s">
        <v>53</v>
      </c>
      <c r="I7" s="150">
        <f>D50</f>
        <v>51942.799999999996</v>
      </c>
      <c r="J7" s="143"/>
      <c r="L7" s="137" t="s">
        <v>54</v>
      </c>
      <c r="M7" s="137" t="s">
        <v>132</v>
      </c>
      <c r="S7" s="145"/>
    </row>
    <row r="8" spans="1:19" x14ac:dyDescent="0.25">
      <c r="A8" s="151" t="s">
        <v>13</v>
      </c>
      <c r="B8" s="152"/>
      <c r="C8" s="152"/>
      <c r="D8" s="153" t="s">
        <v>60</v>
      </c>
      <c r="E8" s="148" t="s">
        <v>61</v>
      </c>
      <c r="G8" s="154"/>
      <c r="H8" s="155" t="s">
        <v>62</v>
      </c>
      <c r="I8" s="150">
        <f ca="1">C33</f>
        <v>11755.156999999999</v>
      </c>
      <c r="J8" s="154"/>
      <c r="K8" s="154"/>
      <c r="L8" s="137" t="s">
        <v>63</v>
      </c>
      <c r="M8" s="137">
        <v>20.8</v>
      </c>
      <c r="N8" s="137">
        <f>243*20.8</f>
        <v>5054.4000000000005</v>
      </c>
      <c r="P8" s="145"/>
      <c r="S8" s="145"/>
    </row>
    <row r="9" spans="1:19" x14ac:dyDescent="0.25">
      <c r="A9" s="151" t="s">
        <v>14</v>
      </c>
      <c r="B9" s="152">
        <f>C9/12</f>
        <v>859.08751043115433</v>
      </c>
      <c r="C9" s="156">
        <f>0.912*10983*148/143.8</f>
        <v>10309.050125173851</v>
      </c>
      <c r="D9" s="157">
        <f>C9/C20</f>
        <v>0.17206268731247323</v>
      </c>
      <c r="E9" s="157">
        <f>C9/D50</f>
        <v>0.1984692801538202</v>
      </c>
      <c r="F9" s="158"/>
      <c r="G9" s="154"/>
      <c r="H9" s="159" t="s">
        <v>64</v>
      </c>
      <c r="I9" s="160">
        <f ca="1">I7+I8</f>
        <v>63697.956999999995</v>
      </c>
      <c r="J9" s="143"/>
      <c r="K9" s="154"/>
      <c r="L9" s="137" t="s">
        <v>65</v>
      </c>
      <c r="M9" s="137">
        <v>8.6</v>
      </c>
      <c r="N9" s="137">
        <f>186*8.6</f>
        <v>1599.6</v>
      </c>
      <c r="P9" s="145"/>
      <c r="Q9" s="161"/>
      <c r="S9" s="145"/>
    </row>
    <row r="10" spans="1:19" x14ac:dyDescent="0.25">
      <c r="A10" s="151" t="s">
        <v>15</v>
      </c>
      <c r="B10" s="152">
        <f>C10/12</f>
        <v>237.51845133689847</v>
      </c>
      <c r="C10" s="152">
        <f>2042*(95.4/93.5)*1.368</f>
        <v>2850.2214160427816</v>
      </c>
      <c r="D10" s="157">
        <f>C10/C20</f>
        <v>4.7571478489790875E-2</v>
      </c>
      <c r="E10" s="157">
        <f>C10/D50</f>
        <v>5.4872309849349321E-2</v>
      </c>
      <c r="F10" s="158"/>
      <c r="H10" s="162"/>
      <c r="I10" s="162"/>
      <c r="J10" s="154"/>
      <c r="K10" s="154"/>
      <c r="L10" s="137" t="s">
        <v>66</v>
      </c>
      <c r="M10" s="137">
        <v>20.8</v>
      </c>
      <c r="N10" s="137">
        <f>45*20.8</f>
        <v>936</v>
      </c>
      <c r="P10" s="145"/>
      <c r="Q10" s="161"/>
      <c r="S10" s="145"/>
    </row>
    <row r="11" spans="1:19" x14ac:dyDescent="0.25">
      <c r="A11" s="151" t="s">
        <v>16</v>
      </c>
      <c r="B11" s="152">
        <f>C11/12</f>
        <v>1171.7967885288965</v>
      </c>
      <c r="C11" s="163">
        <f>(1089*12)+(487.63*(158.1/114.2))+(26.54*12)</f>
        <v>14061.561462346759</v>
      </c>
      <c r="D11" s="157">
        <f>C11/C20</f>
        <v>0.2346937907608721</v>
      </c>
      <c r="E11" s="157">
        <f>C11/D50</f>
        <v>0.27071242717656269</v>
      </c>
      <c r="F11" s="137">
        <f>1089-1187</f>
        <v>-98</v>
      </c>
      <c r="G11" s="154"/>
      <c r="H11" s="141" t="s">
        <v>67</v>
      </c>
      <c r="I11" s="164">
        <f ca="1">B55+C55+B56+C56</f>
        <v>645.79507471999875</v>
      </c>
      <c r="J11" s="143"/>
      <c r="K11" s="154"/>
      <c r="N11" s="137">
        <f>SUM(N8:N10)</f>
        <v>7590</v>
      </c>
      <c r="P11" s="145"/>
      <c r="Q11" s="161"/>
      <c r="S11" s="145"/>
    </row>
    <row r="12" spans="1:19" x14ac:dyDescent="0.25">
      <c r="A12" s="151" t="s">
        <v>17</v>
      </c>
      <c r="B12" s="152">
        <f>C12/12</f>
        <v>480.92024031489535</v>
      </c>
      <c r="C12" s="156">
        <f>(4850*161.2/160.9)+(12*76)</f>
        <v>5771.042883778744</v>
      </c>
      <c r="D12" s="157">
        <f>C12/C20</f>
        <v>9.6321303623669238E-2</v>
      </c>
      <c r="E12" s="157">
        <f>C11/D50</f>
        <v>0.27071242717656269</v>
      </c>
      <c r="F12" s="158"/>
      <c r="H12" s="164" t="s">
        <v>68</v>
      </c>
      <c r="I12" s="164">
        <f ca="1">C33</f>
        <v>11755.156999999999</v>
      </c>
      <c r="J12" s="145"/>
      <c r="K12" s="154"/>
      <c r="L12" s="137" t="s">
        <v>69</v>
      </c>
      <c r="N12" s="137">
        <f>11*3.5*26</f>
        <v>1001</v>
      </c>
      <c r="P12" s="145"/>
      <c r="Q12" s="161"/>
      <c r="S12" s="145"/>
    </row>
    <row r="13" spans="1:19" x14ac:dyDescent="0.25">
      <c r="A13" s="151" t="s">
        <v>18</v>
      </c>
      <c r="B13" s="152">
        <f>C13/12</f>
        <v>1097.0021286231258</v>
      </c>
      <c r="C13" s="156">
        <f>'2020 2P2C WPG'!C13*1.368</f>
        <v>13164.02554347751</v>
      </c>
      <c r="D13" s="157">
        <f>C13/C20</f>
        <v>0.21971351224006042</v>
      </c>
      <c r="E13" s="157">
        <f>C13/D50</f>
        <v>0.25343311379974726</v>
      </c>
      <c r="G13" s="154"/>
      <c r="H13" s="160" t="s">
        <v>70</v>
      </c>
      <c r="I13" s="160">
        <f ca="1">I11-I12</f>
        <v>-11109.36192528</v>
      </c>
      <c r="J13" s="154"/>
      <c r="K13" s="154"/>
      <c r="L13" s="162"/>
      <c r="P13" s="145"/>
      <c r="Q13" s="161"/>
      <c r="S13" s="145"/>
    </row>
    <row r="14" spans="1:19" s="167" customFormat="1" x14ac:dyDescent="0.25">
      <c r="A14" s="153" t="s">
        <v>19</v>
      </c>
      <c r="B14" s="165">
        <f>SUM(B9:B13)</f>
        <v>3846.3251192349703</v>
      </c>
      <c r="C14" s="165">
        <f>SUM(C9:C13)</f>
        <v>46155.901430819642</v>
      </c>
      <c r="D14" s="166">
        <f>C14/C20</f>
        <v>0.77036277242686579</v>
      </c>
      <c r="E14" s="166">
        <f>C14/D50</f>
        <v>0.88859093908721987</v>
      </c>
      <c r="G14" s="160"/>
      <c r="H14" s="164" t="s">
        <v>71</v>
      </c>
      <c r="I14" s="164">
        <f>B53+C53+B54+C54</f>
        <v>3133.5561599999992</v>
      </c>
      <c r="J14" s="160"/>
      <c r="K14" s="160"/>
      <c r="L14" s="162"/>
      <c r="M14" s="137"/>
      <c r="N14" s="137"/>
      <c r="O14" s="137"/>
      <c r="P14" s="145"/>
      <c r="Q14" s="161"/>
      <c r="R14" s="137"/>
      <c r="S14" s="145"/>
    </row>
    <row r="15" spans="1:19" x14ac:dyDescent="0.25">
      <c r="A15" s="151" t="s">
        <v>20</v>
      </c>
      <c r="B15" s="152">
        <f>C15/12</f>
        <v>632.5</v>
      </c>
      <c r="C15" s="156">
        <f>N11</f>
        <v>7590</v>
      </c>
      <c r="D15" s="157">
        <f>C15/C20</f>
        <v>0.12668051671536987</v>
      </c>
      <c r="E15" s="157">
        <f>C15/D50</f>
        <v>0.14612227296179645</v>
      </c>
      <c r="G15" s="154"/>
      <c r="H15" s="167" t="s">
        <v>72</v>
      </c>
      <c r="I15" s="160">
        <f ca="1">I13+I14</f>
        <v>-7975.8057652800007</v>
      </c>
      <c r="J15" s="154"/>
      <c r="K15" s="154"/>
      <c r="L15" s="162"/>
      <c r="M15" s="168"/>
      <c r="N15" s="168"/>
      <c r="P15" s="145"/>
      <c r="Q15" s="161"/>
      <c r="S15" s="145"/>
    </row>
    <row r="16" spans="1:19" x14ac:dyDescent="0.25">
      <c r="A16" s="151" t="s">
        <v>21</v>
      </c>
      <c r="B16" s="152">
        <f>C16/12</f>
        <v>0</v>
      </c>
      <c r="C16" s="152">
        <v>0</v>
      </c>
      <c r="D16" s="169">
        <f>C16/C20</f>
        <v>0</v>
      </c>
      <c r="E16" s="169">
        <f>C16/D50</f>
        <v>0</v>
      </c>
      <c r="H16" s="154"/>
      <c r="I16" s="154"/>
      <c r="J16" s="154"/>
      <c r="K16" s="154"/>
      <c r="L16" s="162"/>
      <c r="P16" s="145"/>
      <c r="Q16" s="161"/>
      <c r="S16" s="145"/>
    </row>
    <row r="17" spans="1:28" x14ac:dyDescent="0.25">
      <c r="A17" s="151" t="s">
        <v>22</v>
      </c>
      <c r="B17" s="152">
        <f>C17/12</f>
        <v>198.29999999999998</v>
      </c>
      <c r="C17" s="152">
        <f>(75.15+61.35+41.35+20.45)*12</f>
        <v>2379.6</v>
      </c>
      <c r="D17" s="157">
        <f>C17/C20</f>
        <v>3.9716595201040067E-2</v>
      </c>
      <c r="E17" s="157">
        <f>C17/D50</f>
        <v>4.5811931586283376E-2</v>
      </c>
      <c r="G17" s="160"/>
      <c r="I17" s="154"/>
      <c r="J17" s="154"/>
      <c r="K17" s="154"/>
      <c r="L17" s="162"/>
      <c r="P17" s="145"/>
      <c r="Q17" s="161"/>
      <c r="S17" s="145"/>
    </row>
    <row r="18" spans="1:28" x14ac:dyDescent="0.25">
      <c r="A18" s="151" t="s">
        <v>23</v>
      </c>
      <c r="B18" s="152">
        <f>C18/12</f>
        <v>149.26666666666668</v>
      </c>
      <c r="C18" s="156">
        <v>1791.2</v>
      </c>
      <c r="D18" s="157">
        <f>C18/C20</f>
        <v>2.9895934326820882E-2</v>
      </c>
      <c r="E18" s="157">
        <f>C18/D50</f>
        <v>3.4484086341129094E-2</v>
      </c>
      <c r="F18" s="170"/>
      <c r="G18" s="171"/>
      <c r="H18" s="171"/>
      <c r="I18" s="171"/>
      <c r="J18" s="171"/>
      <c r="K18" s="171"/>
      <c r="L18" s="162"/>
      <c r="P18" s="145"/>
      <c r="Q18" s="161"/>
      <c r="S18" s="145"/>
    </row>
    <row r="19" spans="1:28" x14ac:dyDescent="0.25">
      <c r="A19" s="151" t="s">
        <v>24</v>
      </c>
      <c r="B19" s="152">
        <f>C19/12</f>
        <v>166.48333333333332</v>
      </c>
      <c r="C19" s="152">
        <f>B47*B48*2*2</f>
        <v>1997.8</v>
      </c>
      <c r="D19" s="157">
        <f>C19/C20</f>
        <v>3.3344181329903279E-2</v>
      </c>
      <c r="E19" s="157">
        <f>C19/D50</f>
        <v>3.8461538461538464E-2</v>
      </c>
      <c r="F19" s="170"/>
      <c r="G19" s="171"/>
      <c r="H19" s="171"/>
      <c r="I19" s="171"/>
      <c r="J19" s="171"/>
      <c r="K19" s="171"/>
      <c r="L19" s="162"/>
      <c r="P19" s="145"/>
      <c r="Q19" s="161"/>
      <c r="S19" s="145"/>
    </row>
    <row r="20" spans="1:28" x14ac:dyDescent="0.25">
      <c r="A20" s="151" t="s">
        <v>25</v>
      </c>
      <c r="B20" s="152">
        <f>SUM(B9:B19)-B14</f>
        <v>4992.87511923497</v>
      </c>
      <c r="C20" s="152">
        <f>SUM(C9:C19)-C14</f>
        <v>59914.501430819648</v>
      </c>
      <c r="D20" s="157">
        <f>C20/C20</f>
        <v>1</v>
      </c>
      <c r="E20" s="157">
        <f>SUM(E9:E18)-E14</f>
        <v>1.2746178490452507</v>
      </c>
      <c r="F20" s="164"/>
      <c r="G20" s="164"/>
      <c r="H20" s="164"/>
      <c r="I20" s="164"/>
      <c r="J20" s="164"/>
      <c r="K20" s="172"/>
      <c r="L20" s="162"/>
      <c r="P20" s="145"/>
      <c r="Q20" s="161"/>
      <c r="S20" s="145"/>
    </row>
    <row r="21" spans="1:28" x14ac:dyDescent="0.25">
      <c r="B21" s="154"/>
      <c r="C21" s="154"/>
      <c r="D21" s="154"/>
      <c r="E21" s="154"/>
      <c r="F21" s="154"/>
      <c r="G21" s="154"/>
      <c r="H21" s="145"/>
      <c r="I21" s="154"/>
      <c r="J21" s="164"/>
      <c r="K21" s="154"/>
      <c r="L21" s="162"/>
      <c r="P21" s="145"/>
      <c r="Q21" s="161"/>
      <c r="S21" s="145"/>
    </row>
    <row r="22" spans="1:28" x14ac:dyDescent="0.25">
      <c r="B22" s="154"/>
      <c r="C22" s="154"/>
      <c r="L22" s="162"/>
      <c r="P22" s="145"/>
      <c r="Q22" s="161"/>
      <c r="S22" s="145"/>
    </row>
    <row r="23" spans="1:28" ht="15.6" x14ac:dyDescent="0.3">
      <c r="B23" s="142" t="s">
        <v>73</v>
      </c>
      <c r="L23" s="162"/>
      <c r="P23" s="145"/>
      <c r="Q23" s="161"/>
    </row>
    <row r="24" spans="1:28" ht="12.75" customHeight="1" x14ac:dyDescent="0.3">
      <c r="C24" s="142"/>
      <c r="L24" s="162"/>
      <c r="P24" s="145"/>
      <c r="Q24" s="161"/>
    </row>
    <row r="25" spans="1:28" x14ac:dyDescent="0.25">
      <c r="A25" s="173" t="s">
        <v>61</v>
      </c>
      <c r="B25" s="147" t="s">
        <v>50</v>
      </c>
      <c r="C25" s="147" t="s">
        <v>12</v>
      </c>
      <c r="D25" s="143"/>
      <c r="E25" s="170"/>
      <c r="F25" s="170"/>
      <c r="G25" s="170"/>
      <c r="H25" s="174"/>
      <c r="I25" s="143"/>
      <c r="J25" s="170"/>
      <c r="L25" s="162"/>
      <c r="P25" s="145"/>
      <c r="Q25" s="161"/>
    </row>
    <row r="26" spans="1:28" x14ac:dyDescent="0.25">
      <c r="A26" s="151"/>
      <c r="B26" s="175"/>
      <c r="C26" s="175"/>
      <c r="E26" s="176"/>
      <c r="F26" s="177"/>
      <c r="G26" s="177"/>
      <c r="H26" s="177"/>
      <c r="I26" s="164"/>
      <c r="J26" s="164"/>
      <c r="K26" s="141"/>
      <c r="L26" s="162"/>
      <c r="P26" s="145"/>
      <c r="Q26" s="161"/>
    </row>
    <row r="27" spans="1:28" x14ac:dyDescent="0.25">
      <c r="A27" s="151"/>
      <c r="B27" s="152"/>
      <c r="C27" s="152"/>
      <c r="E27" s="170" t="s">
        <v>74</v>
      </c>
      <c r="F27" s="170" t="s">
        <v>75</v>
      </c>
      <c r="G27" s="170" t="s">
        <v>76</v>
      </c>
      <c r="H27" s="174" t="s">
        <v>77</v>
      </c>
      <c r="K27" s="141"/>
      <c r="L27" s="162"/>
      <c r="P27" s="145"/>
      <c r="Q27" s="161"/>
    </row>
    <row r="28" spans="1:28" ht="17.100000000000001" customHeight="1" x14ac:dyDescent="0.25">
      <c r="A28" s="178" t="s">
        <v>27</v>
      </c>
      <c r="B28" s="175">
        <f ca="1">C28/12</f>
        <v>916.38308333333327</v>
      </c>
      <c r="C28" s="175">
        <f ca="1">MAX(0,E28)</f>
        <v>10996.597</v>
      </c>
      <c r="D28" s="149"/>
      <c r="E28" s="176">
        <f ca="1">IF((D52)&lt;F28,(5602+6639),IF((D52)&lt;G28,(5602+6639-(D52-F28)*0.135),(5602+6639-(G28-F28)*0.135-(D52-G28)*0.057-4901)))</f>
        <v>10996.597</v>
      </c>
      <c r="F28" s="177">
        <v>31120</v>
      </c>
      <c r="G28" s="177">
        <v>67426</v>
      </c>
      <c r="H28" s="177">
        <v>67427</v>
      </c>
      <c r="K28" s="178"/>
      <c r="L28" s="179"/>
      <c r="M28" s="179"/>
      <c r="N28" s="179"/>
      <c r="P28" s="162"/>
      <c r="Q28" s="154"/>
      <c r="R28" s="154"/>
      <c r="S28" s="154"/>
      <c r="T28" s="145"/>
      <c r="U28" s="161"/>
      <c r="W28" s="162"/>
      <c r="AA28" s="145"/>
      <c r="AB28" s="161"/>
    </row>
    <row r="29" spans="1:28" x14ac:dyDescent="0.25">
      <c r="A29" s="151" t="s">
        <v>78</v>
      </c>
      <c r="B29" s="152">
        <f>C29/12</f>
        <v>0</v>
      </c>
      <c r="C29" s="152">
        <v>0</v>
      </c>
      <c r="E29" s="170" t="s">
        <v>79</v>
      </c>
      <c r="F29" s="170" t="s">
        <v>80</v>
      </c>
      <c r="G29" s="170" t="s">
        <v>81</v>
      </c>
      <c r="H29" s="154"/>
      <c r="I29" s="154"/>
      <c r="L29" s="162"/>
      <c r="P29" s="145"/>
      <c r="Q29" s="161"/>
    </row>
    <row r="30" spans="1:28" x14ac:dyDescent="0.25">
      <c r="A30" s="151" t="s">
        <v>28</v>
      </c>
      <c r="B30" s="152">
        <f ca="1">C30/12</f>
        <v>63.213333333333345</v>
      </c>
      <c r="C30" s="152">
        <f ca="1">G30</f>
        <v>758.56000000000017</v>
      </c>
      <c r="E30" s="180">
        <f>290+290+153+153</f>
        <v>886</v>
      </c>
      <c r="F30" s="181">
        <f ca="1">IF((D52-C27-37789)*0.05&gt;0,(D52-C27-37789)*0.05,0)</f>
        <v>127.43999999999978</v>
      </c>
      <c r="G30" s="164">
        <f ca="1">IF(E30&gt;F30,E30-F30,0)</f>
        <v>758.56000000000017</v>
      </c>
      <c r="H30" s="154"/>
      <c r="I30" s="154"/>
      <c r="K30" s="141"/>
      <c r="L30" s="162"/>
      <c r="P30" s="145"/>
      <c r="Q30" s="161"/>
    </row>
    <row r="31" spans="1:28" x14ac:dyDescent="0.25">
      <c r="A31" s="151" t="s">
        <v>29</v>
      </c>
      <c r="B31" s="152">
        <f ca="1">C31/12</f>
        <v>0</v>
      </c>
      <c r="C31" s="152">
        <f ca="1">IF(C15&gt;F34,C15-F34,0)</f>
        <v>0</v>
      </c>
      <c r="D31" s="164"/>
      <c r="E31" s="164" t="s">
        <v>74</v>
      </c>
      <c r="F31" s="164"/>
      <c r="H31" s="154"/>
      <c r="J31" s="154"/>
      <c r="K31" s="141"/>
      <c r="L31" s="162"/>
      <c r="P31" s="145"/>
    </row>
    <row r="32" spans="1:28" x14ac:dyDescent="0.25">
      <c r="A32" s="151" t="s">
        <v>82</v>
      </c>
      <c r="B32" s="152">
        <f ca="1">E32</f>
        <v>0</v>
      </c>
      <c r="C32" s="152">
        <f ca="1">E32*12</f>
        <v>0</v>
      </c>
      <c r="D32" s="164"/>
      <c r="E32" s="164">
        <f ca="1">IF(D52&lt;35840,(0.75*1375-D52*0.3/12),0)</f>
        <v>0</v>
      </c>
      <c r="F32" s="164"/>
      <c r="H32" s="154"/>
      <c r="J32" s="154"/>
      <c r="K32" s="141"/>
      <c r="L32" s="162"/>
      <c r="P32" s="145"/>
    </row>
    <row r="33" spans="1:16" x14ac:dyDescent="0.25">
      <c r="A33" s="151" t="s">
        <v>25</v>
      </c>
      <c r="B33" s="152">
        <f ca="1">SUM(B26:B31)</f>
        <v>979.59641666666664</v>
      </c>
      <c r="C33" s="152">
        <f ca="1">SUM(C26:C31)</f>
        <v>11755.156999999999</v>
      </c>
      <c r="E33" s="170" t="s">
        <v>83</v>
      </c>
      <c r="F33" s="170" t="s">
        <v>84</v>
      </c>
      <c r="G33" s="170"/>
      <c r="H33" s="154"/>
      <c r="I33" s="154"/>
      <c r="L33" s="162"/>
    </row>
    <row r="34" spans="1:16" x14ac:dyDescent="0.25">
      <c r="B34" s="154"/>
      <c r="C34" s="154"/>
      <c r="E34" s="180">
        <f>12083+6554+3881*2</f>
        <v>26399</v>
      </c>
      <c r="F34" s="180">
        <f ca="1">IF(IF((D52-E34+5356*2)&lt;0,(D52-E34)*0.25,(D52-E34+5356*2)*0.5+1339*2)&gt;0,IF((D52-E34+5356*2)&lt;0,(D52-E34)*0.25,(D52-E34+5356*2)*0.5+1339*2),0)</f>
        <v>15003.399999999998</v>
      </c>
      <c r="H34" s="154"/>
      <c r="I34" s="154"/>
      <c r="L34" s="143"/>
      <c r="M34" s="144"/>
      <c r="N34" s="144"/>
      <c r="O34" s="144"/>
      <c r="P34" s="182"/>
    </row>
    <row r="35" spans="1:16" x14ac:dyDescent="0.25">
      <c r="B35" s="154"/>
      <c r="C35" s="154"/>
      <c r="P35" s="154"/>
    </row>
    <row r="36" spans="1:16" ht="15.6" x14ac:dyDescent="0.3">
      <c r="B36" s="142" t="s">
        <v>85</v>
      </c>
    </row>
    <row r="37" spans="1:16" ht="12.75" customHeight="1" x14ac:dyDescent="0.25">
      <c r="A37" s="138"/>
    </row>
    <row r="38" spans="1:16" ht="12.75" customHeight="1" x14ac:dyDescent="0.3">
      <c r="A38" s="183"/>
      <c r="B38" s="147"/>
      <c r="C38" s="147" t="s">
        <v>12</v>
      </c>
      <c r="D38" s="143"/>
      <c r="E38" s="143"/>
      <c r="F38" s="143"/>
      <c r="G38" s="143"/>
      <c r="H38" s="143"/>
      <c r="I38" s="143"/>
    </row>
    <row r="39" spans="1:16" x14ac:dyDescent="0.25">
      <c r="A39" s="151" t="s">
        <v>31</v>
      </c>
      <c r="B39" s="152"/>
      <c r="C39" s="152">
        <f ca="1">C33+D57</f>
        <v>59918.605765280001</v>
      </c>
      <c r="H39" s="154"/>
      <c r="I39" s="154"/>
    </row>
    <row r="40" spans="1:16" x14ac:dyDescent="0.25">
      <c r="A40" s="151" t="s">
        <v>32</v>
      </c>
      <c r="B40" s="152"/>
      <c r="C40" s="152">
        <f>C20</f>
        <v>59914.501430819648</v>
      </c>
      <c r="H40" s="154"/>
      <c r="I40" s="154"/>
    </row>
    <row r="41" spans="1:16" x14ac:dyDescent="0.25">
      <c r="A41" s="151" t="s">
        <v>33</v>
      </c>
      <c r="B41" s="152"/>
      <c r="C41" s="152">
        <f ca="1">C39-C40</f>
        <v>4.1043344603531295</v>
      </c>
      <c r="H41" s="154"/>
      <c r="I41" s="154"/>
    </row>
    <row r="42" spans="1:16" x14ac:dyDescent="0.25">
      <c r="B42" s="154"/>
      <c r="C42" s="154"/>
      <c r="H42" s="154"/>
      <c r="I42" s="154"/>
    </row>
    <row r="43" spans="1:16" x14ac:dyDescent="0.25">
      <c r="B43" s="154"/>
      <c r="C43" s="154"/>
      <c r="E43" s="154"/>
      <c r="H43" s="154"/>
      <c r="I43" s="154"/>
    </row>
    <row r="44" spans="1:16" ht="15.6" x14ac:dyDescent="0.3">
      <c r="B44" s="184" t="s">
        <v>86</v>
      </c>
    </row>
    <row r="45" spans="1:16" x14ac:dyDescent="0.25">
      <c r="B45" s="143"/>
    </row>
    <row r="46" spans="1:16" s="162" customFormat="1" x14ac:dyDescent="0.25">
      <c r="A46" s="147"/>
      <c r="B46" s="147" t="s">
        <v>34</v>
      </c>
      <c r="C46" s="147" t="s">
        <v>87</v>
      </c>
      <c r="D46" s="147" t="s">
        <v>25</v>
      </c>
      <c r="F46" s="137"/>
      <c r="G46" s="137"/>
      <c r="H46" s="137"/>
      <c r="I46" s="185"/>
    </row>
    <row r="47" spans="1:16" x14ac:dyDescent="0.25">
      <c r="A47" s="151" t="s">
        <v>35</v>
      </c>
      <c r="B47" s="151">
        <v>35</v>
      </c>
      <c r="C47" s="186">
        <v>35</v>
      </c>
      <c r="D47" s="151">
        <f>B47+C47</f>
        <v>70</v>
      </c>
      <c r="I47" s="154"/>
    </row>
    <row r="48" spans="1:16" x14ac:dyDescent="0.25">
      <c r="A48" s="151" t="s">
        <v>36</v>
      </c>
      <c r="B48" s="187">
        <v>14.27</v>
      </c>
      <c r="C48" s="188">
        <f>B48</f>
        <v>14.27</v>
      </c>
      <c r="D48" s="151"/>
      <c r="I48" s="154"/>
    </row>
    <row r="49" spans="1:17" ht="1.5" customHeight="1" x14ac:dyDescent="0.25">
      <c r="A49" s="146"/>
      <c r="B49" s="146">
        <v>14</v>
      </c>
      <c r="C49" s="147"/>
      <c r="D49" s="146"/>
      <c r="I49" s="182"/>
    </row>
    <row r="50" spans="1:17" x14ac:dyDescent="0.25">
      <c r="A50" s="151" t="s">
        <v>37</v>
      </c>
      <c r="B50" s="152">
        <f>B48*B47*52</f>
        <v>25971.399999999998</v>
      </c>
      <c r="C50" s="152">
        <f>C48*C47*52</f>
        <v>25971.399999999998</v>
      </c>
      <c r="D50" s="152">
        <f>B50+C50</f>
        <v>51942.799999999996</v>
      </c>
      <c r="F50" s="170" t="s">
        <v>88</v>
      </c>
      <c r="I50" s="154"/>
      <c r="J50" s="137" t="s">
        <v>142</v>
      </c>
      <c r="K50" s="137" t="s">
        <v>88</v>
      </c>
    </row>
    <row r="51" spans="1:17" x14ac:dyDescent="0.25">
      <c r="A51" s="151" t="s">
        <v>38</v>
      </c>
      <c r="B51" s="152">
        <f ca="1">C27-C15+C31-J51</f>
        <v>-9597.5</v>
      </c>
      <c r="C51" s="152">
        <f>-J51</f>
        <v>-2007.5</v>
      </c>
      <c r="D51" s="152">
        <f ca="1">B51+C51</f>
        <v>-11605</v>
      </c>
      <c r="F51" s="170" t="s">
        <v>89</v>
      </c>
      <c r="G51" s="170" t="s">
        <v>90</v>
      </c>
      <c r="H51" s="170" t="s">
        <v>91</v>
      </c>
      <c r="I51" s="170" t="s">
        <v>92</v>
      </c>
      <c r="J51" s="137">
        <f>5.5*365</f>
        <v>2007.5</v>
      </c>
      <c r="K51" s="137" t="s">
        <v>89</v>
      </c>
      <c r="L51" s="170" t="s">
        <v>93</v>
      </c>
      <c r="M51" s="170" t="s">
        <v>94</v>
      </c>
      <c r="N51" s="170" t="s">
        <v>95</v>
      </c>
      <c r="O51" s="170" t="s">
        <v>96</v>
      </c>
      <c r="P51" s="170" t="s">
        <v>97</v>
      </c>
      <c r="Q51" s="170" t="s">
        <v>98</v>
      </c>
    </row>
    <row r="52" spans="1:17" x14ac:dyDescent="0.25">
      <c r="A52" s="151" t="s">
        <v>39</v>
      </c>
      <c r="B52" s="152">
        <f ca="1">B50+B51</f>
        <v>16373.899999999998</v>
      </c>
      <c r="C52" s="152">
        <f>C50+C51</f>
        <v>23963.899999999998</v>
      </c>
      <c r="D52" s="152">
        <f t="shared" ref="D52:D58" ca="1" si="0">B52+C52</f>
        <v>40337.799999999996</v>
      </c>
      <c r="F52" s="189">
        <v>1</v>
      </c>
      <c r="G52" s="180">
        <f ca="1">B52*0.15</f>
        <v>2456.0849999999996</v>
      </c>
      <c r="H52" s="180">
        <f ca="1">(L52+B53+B54+M52+N52)*0.15</f>
        <v>2511.9241620000003</v>
      </c>
      <c r="I52" s="190">
        <f ca="1">IF(O52&gt;0, O52,0)+P52+Q52</f>
        <v>534.6</v>
      </c>
      <c r="K52" s="137">
        <v>1</v>
      </c>
      <c r="L52" s="154">
        <v>12069</v>
      </c>
      <c r="M52" s="154">
        <v>1222</v>
      </c>
      <c r="N52" s="137">
        <f ca="1">IF(C17-B52*0.03&gt;0,C17-B52*0.03,0)</f>
        <v>1888.383</v>
      </c>
      <c r="O52" s="137">
        <f>IF((D50-3000)*0.26&lt;2335,(D50-3000)*0.26,2335)-IF(D50-17025&gt;0,D50-17025,0)*0.12</f>
        <v>-1855.1359999999995</v>
      </c>
      <c r="P52" s="137">
        <f ca="1">IF((0.25*N52 - 0.05*(D52-27044))&gt;0,(0.25*N52 - 0.05*(D52-27044)),0)</f>
        <v>0</v>
      </c>
      <c r="Q52" s="137">
        <f>243+121+61+61+(243+121+61+61)*0.1</f>
        <v>534.6</v>
      </c>
    </row>
    <row r="53" spans="1:17" x14ac:dyDescent="0.25">
      <c r="A53" s="151" t="s">
        <v>40</v>
      </c>
      <c r="B53" s="152">
        <f>IF(B50*0.0162&lt;860.22,B50*0.0162,860.22)</f>
        <v>420.73667999999992</v>
      </c>
      <c r="C53" s="152">
        <f>C50*0.0162</f>
        <v>420.73667999999992</v>
      </c>
      <c r="D53" s="152">
        <f t="shared" si="0"/>
        <v>841.47335999999984</v>
      </c>
      <c r="F53" s="189">
        <v>2</v>
      </c>
      <c r="G53" s="180">
        <f>C52*0.15</f>
        <v>3594.5849999999996</v>
      </c>
      <c r="H53" s="180">
        <f>(L53+C53+C54+M53+C18)*0.15</f>
        <v>2497.346712</v>
      </c>
      <c r="I53" s="154"/>
      <c r="K53" s="137">
        <v>2</v>
      </c>
      <c r="L53" s="154">
        <v>12069</v>
      </c>
      <c r="M53" s="154">
        <v>1222</v>
      </c>
    </row>
    <row r="54" spans="1:17" x14ac:dyDescent="0.25">
      <c r="A54" s="151" t="s">
        <v>41</v>
      </c>
      <c r="B54" s="152">
        <f>IF(((B50-3500)*0.051)&lt;2748.9,(B50-3500)*0.051,2748.9)</f>
        <v>1146.0413999999998</v>
      </c>
      <c r="C54" s="152">
        <f>IF(((C50-3500)*0.051)&lt;2748.9,(C50-3500)*0.051,2748.9)</f>
        <v>1146.0413999999998</v>
      </c>
      <c r="D54" s="152">
        <f t="shared" si="0"/>
        <v>2292.0827999999997</v>
      </c>
    </row>
    <row r="55" spans="1:17" x14ac:dyDescent="0.25">
      <c r="A55" s="151" t="s">
        <v>42</v>
      </c>
      <c r="B55" s="152">
        <f ca="1">IF(G52-H52&lt;0,0,G52-H52)-I52</f>
        <v>-534.6</v>
      </c>
      <c r="C55" s="152">
        <f>IF(G53-H53&lt;0,0,G53-H53)</f>
        <v>1097.2382879999996</v>
      </c>
      <c r="D55" s="152">
        <f t="shared" ca="1" si="0"/>
        <v>562.63828799999953</v>
      </c>
      <c r="E55" s="167"/>
      <c r="F55" s="170" t="s">
        <v>99</v>
      </c>
      <c r="I55" s="154"/>
      <c r="K55" s="170" t="s">
        <v>99</v>
      </c>
    </row>
    <row r="56" spans="1:17" x14ac:dyDescent="0.25">
      <c r="A56" s="151" t="s">
        <v>43</v>
      </c>
      <c r="B56" s="152">
        <f ca="1">IF(G57-H57&lt;0,0,G57-H57)-I57</f>
        <v>291.75011135999989</v>
      </c>
      <c r="C56" s="152">
        <f ca="1">IF(G58-H58&lt;0,0,G58-H58)-I58</f>
        <v>-208.59332464000067</v>
      </c>
      <c r="D56" s="152">
        <f t="shared" ca="1" si="0"/>
        <v>83.156786719999218</v>
      </c>
      <c r="E56" s="164"/>
      <c r="F56" s="170" t="s">
        <v>89</v>
      </c>
      <c r="G56" s="170" t="s">
        <v>90</v>
      </c>
      <c r="H56" s="170" t="s">
        <v>91</v>
      </c>
      <c r="I56" s="170" t="s">
        <v>100</v>
      </c>
      <c r="K56" s="170" t="s">
        <v>89</v>
      </c>
      <c r="L56" s="170" t="s">
        <v>93</v>
      </c>
      <c r="M56" s="170" t="s">
        <v>101</v>
      </c>
      <c r="N56" s="170" t="s">
        <v>102</v>
      </c>
      <c r="O56" s="170" t="s">
        <v>95</v>
      </c>
      <c r="P56" s="170" t="s">
        <v>103</v>
      </c>
      <c r="Q56" s="170" t="s">
        <v>104</v>
      </c>
    </row>
    <row r="57" spans="1:17" x14ac:dyDescent="0.25">
      <c r="A57" s="151" t="s">
        <v>44</v>
      </c>
      <c r="B57" s="152">
        <f ca="1">B50-SUM(B53:B56)</f>
        <v>24647.471808639999</v>
      </c>
      <c r="C57" s="152">
        <f ca="1">C50-SUM(C53:C56)</f>
        <v>23515.976956639999</v>
      </c>
      <c r="D57" s="152">
        <f t="shared" ca="1" si="0"/>
        <v>48163.448765280002</v>
      </c>
      <c r="E57" s="154"/>
      <c r="F57" s="189">
        <v>1</v>
      </c>
      <c r="G57" s="180">
        <f ca="1">IF(B52&lt;32670,B52*0.108,(B52-32670)*0.1275+(32670*0.108))</f>
        <v>1768.3811999999998</v>
      </c>
      <c r="H57" s="180">
        <f ca="1">(L57+B53+B54+N57+O57)*0.108</f>
        <v>1476.6310886399999</v>
      </c>
      <c r="I57" s="180">
        <v>0</v>
      </c>
      <c r="K57" s="137">
        <v>1</v>
      </c>
      <c r="L57" s="137">
        <v>9626</v>
      </c>
      <c r="N57" s="137">
        <f ca="1">IF(2065-B52*0.09&gt;0,2065-B52*0.09,0)</f>
        <v>591.34900000000016</v>
      </c>
      <c r="O57" s="137">
        <f ca="1">IF(C17-B52*0.03&gt;0,C17-B52*0.03,0)</f>
        <v>1888.383</v>
      </c>
    </row>
    <row r="58" spans="1:17" x14ac:dyDescent="0.25">
      <c r="A58" s="151" t="s">
        <v>45</v>
      </c>
      <c r="B58" s="152">
        <f ca="1">B57/12</f>
        <v>2053.9559840533334</v>
      </c>
      <c r="C58" s="152">
        <f ca="1">C57/12</f>
        <v>1959.6647463866666</v>
      </c>
      <c r="D58" s="152">
        <f t="shared" ca="1" si="0"/>
        <v>4013.62073044</v>
      </c>
      <c r="F58" s="189">
        <v>2</v>
      </c>
      <c r="G58" s="180">
        <f>IF(C52&lt;32670,C52*0.108,(C52-32670)*0.1275+(32670*0.108))</f>
        <v>2588.1011999999996</v>
      </c>
      <c r="H58" s="180">
        <f>(L58+C53+C54+M58+N58)*0.108</f>
        <v>2058.0725246400002</v>
      </c>
      <c r="I58" s="180">
        <f ca="1">P58+Q58</f>
        <v>738.62200000000007</v>
      </c>
      <c r="K58" s="137">
        <v>2</v>
      </c>
      <c r="L58" s="137">
        <v>9626</v>
      </c>
      <c r="M58" s="154">
        <f>1491.2+120*8</f>
        <v>2451.1999999999998</v>
      </c>
      <c r="N58" s="137">
        <f>IF(2065+2752*2-C52*0.09&gt;0,2065+2752*2-C52*0.09,0)</f>
        <v>5412.2489999999998</v>
      </c>
      <c r="P58" s="137">
        <f ca="1">IF(195+195+26+26-(D52*0.01)&gt;0,195+195+26+26-(D52*0.01),0)</f>
        <v>38.622000000000014</v>
      </c>
      <c r="Q58" s="137">
        <f ca="1">700-(IF(C32&gt;700,700,C32))</f>
        <v>700</v>
      </c>
    </row>
    <row r="59" spans="1:17" x14ac:dyDescent="0.25">
      <c r="B59" s="154"/>
      <c r="C59" s="154"/>
      <c r="D59" s="154"/>
    </row>
    <row r="60" spans="1:17" x14ac:dyDescent="0.25">
      <c r="B60" s="154"/>
      <c r="C60" s="154"/>
      <c r="D60" s="154"/>
    </row>
    <row r="61" spans="1:17" s="144" customFormat="1" ht="15.6" x14ac:dyDescent="0.3">
      <c r="B61" s="142" t="s">
        <v>105</v>
      </c>
    </row>
    <row r="63" spans="1:17" x14ac:dyDescent="0.25">
      <c r="A63" s="137" t="s">
        <v>106</v>
      </c>
      <c r="D63" s="154">
        <f>D50</f>
        <v>51942.799999999996</v>
      </c>
    </row>
    <row r="64" spans="1:17" x14ac:dyDescent="0.25">
      <c r="A64" s="137" t="s">
        <v>107</v>
      </c>
      <c r="D64" s="154">
        <f ca="1">SUM(B53:B56)+SUM(C53:C56)</f>
        <v>3779.3512347199985</v>
      </c>
    </row>
    <row r="65" spans="1:9" x14ac:dyDescent="0.25">
      <c r="A65" s="137" t="s">
        <v>108</v>
      </c>
      <c r="D65" s="154">
        <f ca="1">D63-D64</f>
        <v>48163.448765279994</v>
      </c>
    </row>
    <row r="66" spans="1:9" x14ac:dyDescent="0.25">
      <c r="A66" s="137" t="s">
        <v>109</v>
      </c>
      <c r="D66" s="154">
        <f ca="1">C33</f>
        <v>11755.156999999999</v>
      </c>
    </row>
    <row r="67" spans="1:9" x14ac:dyDescent="0.25">
      <c r="A67" s="137" t="s">
        <v>110</v>
      </c>
      <c r="D67" s="154">
        <f ca="1">D65+D66</f>
        <v>59918.605765279994</v>
      </c>
    </row>
    <row r="68" spans="1:9" x14ac:dyDescent="0.25">
      <c r="A68" s="137" t="s">
        <v>111</v>
      </c>
      <c r="D68" s="154">
        <f>C20</f>
        <v>59914.501430819648</v>
      </c>
    </row>
    <row r="69" spans="1:9" x14ac:dyDescent="0.25">
      <c r="A69" s="137" t="s">
        <v>112</v>
      </c>
      <c r="D69" s="154">
        <f ca="1">D67-D68</f>
        <v>4.1043344603458536</v>
      </c>
    </row>
    <row r="71" spans="1:9" ht="12.75" customHeight="1" x14ac:dyDescent="0.3">
      <c r="C71" s="142"/>
      <c r="E71" s="142"/>
      <c r="F71" s="142"/>
      <c r="G71" s="142"/>
      <c r="H71" s="142"/>
      <c r="I71" s="142"/>
    </row>
    <row r="72" spans="1:9" x14ac:dyDescent="0.25">
      <c r="B72" s="154"/>
    </row>
    <row r="73" spans="1:9" x14ac:dyDescent="0.25">
      <c r="A73" s="144"/>
      <c r="B73" s="162"/>
      <c r="C73" s="162"/>
      <c r="D73" s="162"/>
      <c r="E73" s="144"/>
      <c r="F73" s="144"/>
      <c r="G73" s="144"/>
      <c r="H73" s="144"/>
      <c r="I73" s="144"/>
    </row>
    <row r="74" spans="1:9" x14ac:dyDescent="0.25">
      <c r="B74" s="154"/>
      <c r="C74" s="191"/>
      <c r="D74" s="154"/>
    </row>
    <row r="75" spans="1:9" ht="15" x14ac:dyDescent="0.25">
      <c r="A75" s="138"/>
      <c r="B75" s="154"/>
      <c r="C75" s="191"/>
      <c r="D75" s="154"/>
    </row>
    <row r="76" spans="1:9" x14ac:dyDescent="0.25">
      <c r="B76" s="154"/>
      <c r="C76" s="192"/>
    </row>
    <row r="77" spans="1:9" x14ac:dyDescent="0.25">
      <c r="B77" s="154"/>
      <c r="C77" s="192"/>
    </row>
    <row r="78" spans="1:9" x14ac:dyDescent="0.25">
      <c r="B78" s="143"/>
      <c r="C78" s="143"/>
      <c r="D78" s="143"/>
      <c r="E78" s="143"/>
      <c r="F78" s="143"/>
    </row>
    <row r="79" spans="1:9" x14ac:dyDescent="0.25">
      <c r="B79" s="143"/>
      <c r="C79" s="143"/>
      <c r="D79" s="143"/>
      <c r="E79" s="143"/>
      <c r="F79" s="143"/>
    </row>
    <row r="80" spans="1:9" x14ac:dyDescent="0.25">
      <c r="B80" s="143"/>
      <c r="C80" s="143"/>
      <c r="D80" s="143"/>
      <c r="E80" s="143"/>
      <c r="F80" s="143"/>
    </row>
    <row r="81" spans="2:6" x14ac:dyDescent="0.25">
      <c r="D81" s="168"/>
      <c r="E81" s="168"/>
      <c r="F81" s="193"/>
    </row>
    <row r="82" spans="2:6" x14ac:dyDescent="0.25">
      <c r="D82" s="168"/>
      <c r="E82" s="168"/>
      <c r="F82" s="193"/>
    </row>
    <row r="83" spans="2:6" x14ac:dyDescent="0.25">
      <c r="D83" s="168"/>
      <c r="E83" s="168"/>
      <c r="F83" s="193"/>
    </row>
    <row r="84" spans="2:6" x14ac:dyDescent="0.25">
      <c r="D84" s="168"/>
      <c r="E84" s="168"/>
      <c r="F84" s="193"/>
    </row>
    <row r="87" spans="2:6" x14ac:dyDescent="0.25">
      <c r="B87" s="143"/>
      <c r="C87" s="143"/>
      <c r="D87" s="143"/>
      <c r="E87" s="143"/>
      <c r="F87" s="143"/>
    </row>
    <row r="88" spans="2:6" x14ac:dyDescent="0.25">
      <c r="B88" s="143"/>
      <c r="C88" s="143"/>
      <c r="D88" s="143"/>
      <c r="E88" s="143"/>
      <c r="F88" s="143"/>
    </row>
    <row r="89" spans="2:6" x14ac:dyDescent="0.25">
      <c r="B89" s="143"/>
      <c r="C89" s="143"/>
      <c r="D89" s="143"/>
      <c r="E89" s="143"/>
      <c r="F89" s="143"/>
    </row>
    <row r="90" spans="2:6" x14ac:dyDescent="0.25">
      <c r="D90" s="168"/>
      <c r="E90" s="168"/>
      <c r="F90" s="193"/>
    </row>
    <row r="91" spans="2:6" x14ac:dyDescent="0.25">
      <c r="D91" s="168"/>
      <c r="E91" s="168"/>
      <c r="F91" s="193"/>
    </row>
    <row r="92" spans="2:6" x14ac:dyDescent="0.25">
      <c r="D92" s="168"/>
      <c r="E92" s="168"/>
      <c r="F92" s="193"/>
    </row>
    <row r="93" spans="2:6" x14ac:dyDescent="0.25">
      <c r="D93" s="168"/>
      <c r="E93" s="168"/>
      <c r="F93" s="193"/>
    </row>
    <row r="94" spans="2:6" x14ac:dyDescent="0.25">
      <c r="B94" s="154"/>
      <c r="C94" s="191"/>
    </row>
    <row r="95" spans="2:6" x14ac:dyDescent="0.25">
      <c r="B95" s="154"/>
      <c r="C95" s="154"/>
      <c r="D95" s="154"/>
    </row>
    <row r="96" spans="2:6" x14ac:dyDescent="0.25">
      <c r="B96" s="154"/>
      <c r="C96" s="192"/>
    </row>
    <row r="97" spans="2:6" x14ac:dyDescent="0.25">
      <c r="B97" s="154"/>
      <c r="C97" s="192"/>
    </row>
    <row r="98" spans="2:6" x14ac:dyDescent="0.25">
      <c r="B98" s="143"/>
      <c r="C98" s="143"/>
      <c r="D98" s="143"/>
      <c r="E98" s="143"/>
      <c r="F98" s="143"/>
    </row>
    <row r="99" spans="2:6" x14ac:dyDescent="0.25">
      <c r="B99" s="143"/>
      <c r="C99" s="143"/>
      <c r="D99" s="143"/>
      <c r="E99" s="143"/>
      <c r="F99" s="143"/>
    </row>
    <row r="100" spans="2:6" x14ac:dyDescent="0.25">
      <c r="B100" s="143"/>
      <c r="C100" s="143"/>
      <c r="D100" s="143"/>
      <c r="E100" s="143"/>
      <c r="F100" s="143"/>
    </row>
    <row r="101" spans="2:6" x14ac:dyDescent="0.25">
      <c r="D101" s="168"/>
      <c r="E101" s="168"/>
      <c r="F101" s="193"/>
    </row>
    <row r="102" spans="2:6" x14ac:dyDescent="0.25">
      <c r="D102" s="168"/>
      <c r="E102" s="168"/>
      <c r="F102" s="193"/>
    </row>
    <row r="103" spans="2:6" x14ac:dyDescent="0.25">
      <c r="D103" s="168"/>
      <c r="E103" s="168"/>
      <c r="F103" s="193"/>
    </row>
    <row r="104" spans="2:6" x14ac:dyDescent="0.25">
      <c r="D104" s="168"/>
      <c r="E104" s="168"/>
      <c r="F104" s="193"/>
    </row>
    <row r="107" spans="2:6" x14ac:dyDescent="0.25">
      <c r="B107" s="143"/>
      <c r="C107" s="143"/>
      <c r="D107" s="143"/>
      <c r="E107" s="143"/>
      <c r="F107" s="143"/>
    </row>
    <row r="108" spans="2:6" x14ac:dyDescent="0.25">
      <c r="B108" s="143"/>
      <c r="C108" s="143"/>
      <c r="D108" s="143"/>
      <c r="E108" s="143"/>
      <c r="F108" s="143"/>
    </row>
    <row r="109" spans="2:6" x14ac:dyDescent="0.25">
      <c r="B109" s="143"/>
      <c r="C109" s="143"/>
      <c r="D109" s="143"/>
      <c r="E109" s="143"/>
      <c r="F109" s="143"/>
    </row>
    <row r="110" spans="2:6" x14ac:dyDescent="0.25">
      <c r="D110" s="168"/>
      <c r="E110" s="168"/>
      <c r="F110" s="193"/>
    </row>
    <row r="111" spans="2:6" x14ac:dyDescent="0.25">
      <c r="D111" s="168"/>
      <c r="E111" s="168"/>
      <c r="F111" s="193"/>
    </row>
    <row r="112" spans="2:6" x14ac:dyDescent="0.25">
      <c r="D112" s="168"/>
      <c r="E112" s="168"/>
      <c r="F112" s="193"/>
    </row>
    <row r="113" spans="4:6" x14ac:dyDescent="0.25">
      <c r="D113" s="168"/>
      <c r="E113" s="168"/>
      <c r="F113" s="193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T113"/>
  <sheetViews>
    <sheetView topLeftCell="A2" zoomScale="75" zoomScaleNormal="75" workbookViewId="0">
      <selection activeCell="R33" sqref="R33"/>
    </sheetView>
  </sheetViews>
  <sheetFormatPr defaultColWidth="8.5546875" defaultRowHeight="13.2" x14ac:dyDescent="0.25"/>
  <cols>
    <col min="1" max="1" width="16.5546875" style="21" customWidth="1"/>
    <col min="2" max="3" width="9.5546875" style="21" customWidth="1"/>
    <col min="4" max="4" width="8.5546875" style="2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30" style="21" customWidth="1"/>
    <col min="12" max="12" width="9.21875" style="21" customWidth="1"/>
    <col min="13" max="13" width="8.5546875" style="21"/>
    <col min="14" max="14" width="15.44140625" style="45" customWidth="1"/>
    <col min="15" max="15" width="8.5546875" style="21"/>
    <col min="16" max="16" width="8" style="21" customWidth="1"/>
    <col min="17" max="17" width="7.44140625" style="21" customWidth="1"/>
    <col min="18" max="16384" width="8.5546875" style="21"/>
  </cols>
  <sheetData>
    <row r="1" spans="1:20" ht="17.399999999999999" x14ac:dyDescent="0.3">
      <c r="A1" s="20" t="s">
        <v>144</v>
      </c>
      <c r="B1" s="20"/>
    </row>
    <row r="2" spans="1:20" s="22" customFormat="1" ht="15" customHeight="1" x14ac:dyDescent="0.3">
      <c r="C2" s="22" t="s">
        <v>115</v>
      </c>
      <c r="D2" s="23"/>
      <c r="E2" s="24"/>
      <c r="N2" s="68"/>
    </row>
    <row r="3" spans="1:20" ht="15.6" x14ac:dyDescent="0.3">
      <c r="A3" s="25"/>
      <c r="C3" s="21" t="s">
        <v>116</v>
      </c>
      <c r="D3" s="23"/>
      <c r="E3" s="24"/>
      <c r="F3" s="22"/>
      <c r="G3" s="22"/>
      <c r="H3" s="22"/>
      <c r="I3" s="22"/>
      <c r="J3" s="22"/>
    </row>
    <row r="4" spans="1:20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20" ht="15.6" x14ac:dyDescent="0.3">
      <c r="B5" s="26" t="s">
        <v>49</v>
      </c>
      <c r="K5" s="21" t="s">
        <v>145</v>
      </c>
      <c r="N5" s="27"/>
      <c r="O5" s="28"/>
      <c r="P5" s="28"/>
      <c r="Q5" s="28"/>
    </row>
    <row r="6" spans="1:20" ht="12.75" customHeight="1" x14ac:dyDescent="0.3">
      <c r="C6" s="26"/>
      <c r="J6" s="27"/>
      <c r="L6" s="21" t="s">
        <v>117</v>
      </c>
      <c r="O6" s="45"/>
      <c r="R6" s="29"/>
    </row>
    <row r="7" spans="1:20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28701.399999999998</v>
      </c>
      <c r="J7" s="27"/>
      <c r="K7" s="21" t="s">
        <v>54</v>
      </c>
      <c r="L7" s="21" t="s">
        <v>55</v>
      </c>
      <c r="M7" s="21" t="s">
        <v>56</v>
      </c>
      <c r="N7" s="21" t="s">
        <v>57</v>
      </c>
      <c r="O7" s="21" t="s">
        <v>58</v>
      </c>
      <c r="P7" s="21" t="s">
        <v>59</v>
      </c>
    </row>
    <row r="8" spans="1:20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16554.003333333334</v>
      </c>
      <c r="J8" s="38"/>
      <c r="K8" s="21" t="s">
        <v>63</v>
      </c>
      <c r="L8" s="21">
        <v>243</v>
      </c>
      <c r="M8" s="21">
        <v>20.8</v>
      </c>
      <c r="N8" s="21">
        <f>L8*M8</f>
        <v>5054.4000000000005</v>
      </c>
      <c r="O8" s="21">
        <v>2</v>
      </c>
      <c r="P8" s="21">
        <f>O8*L8</f>
        <v>486</v>
      </c>
      <c r="Q8" s="44"/>
    </row>
    <row r="9" spans="1:20" x14ac:dyDescent="0.25">
      <c r="A9" s="206" t="s">
        <v>14</v>
      </c>
      <c r="B9" s="36">
        <f>C9/12</f>
        <v>471.36511491053676</v>
      </c>
      <c r="C9" s="36">
        <f>((0.912*11606*(153.6/150.9))/2)*1.05</f>
        <v>5656.3813789264414</v>
      </c>
      <c r="D9" s="40">
        <f>C9/C20</f>
        <v>0.11907144883754261</v>
      </c>
      <c r="E9" s="40">
        <f>C9/B50</f>
        <v>0.1970768456913754</v>
      </c>
      <c r="F9" s="41"/>
      <c r="G9" s="38"/>
      <c r="H9" s="42" t="s">
        <v>64</v>
      </c>
      <c r="I9" s="43">
        <f ca="1">I7+I8</f>
        <v>45255.403333333335</v>
      </c>
      <c r="J9" s="27"/>
      <c r="K9" s="21" t="s">
        <v>69</v>
      </c>
      <c r="N9" s="21">
        <f>11.95*3.5*26</f>
        <v>1087.4499999999998</v>
      </c>
      <c r="P9" s="29"/>
      <c r="Q9" s="44"/>
      <c r="T9" s="29"/>
    </row>
    <row r="10" spans="1:20" x14ac:dyDescent="0.25">
      <c r="A10" s="206" t="s">
        <v>15</v>
      </c>
      <c r="B10" s="36">
        <f>C10/12</f>
        <v>164.95807171763235</v>
      </c>
      <c r="C10" s="36">
        <f>((2042*(93.7/93.5))/2)*SQRT(2)*1.368</f>
        <v>1979.4968606115883</v>
      </c>
      <c r="D10" s="40">
        <f>C10/C20</f>
        <v>4.1670026006472037E-2</v>
      </c>
      <c r="E10" s="40">
        <f>C10/B50</f>
        <v>6.8968651724709895E-2</v>
      </c>
      <c r="F10" s="41"/>
      <c r="H10" s="45"/>
      <c r="I10" s="45"/>
      <c r="J10" s="38"/>
      <c r="N10" s="21"/>
      <c r="P10" s="29"/>
      <c r="Q10" s="44"/>
      <c r="T10" s="29"/>
    </row>
    <row r="11" spans="1:20" x14ac:dyDescent="0.25">
      <c r="A11" s="206" t="s">
        <v>16</v>
      </c>
      <c r="B11" s="36">
        <f>C11/12</f>
        <v>1078.1426897256276</v>
      </c>
      <c r="C11" s="36">
        <f>(995*12)+(487.63*(163.4/114.2))+(25*12)</f>
        <v>12937.712276707531</v>
      </c>
      <c r="D11" s="40">
        <f>C11/C20</f>
        <v>0.27234941250075517</v>
      </c>
      <c r="E11" s="40">
        <f>C11/B50</f>
        <v>0.45076937977616183</v>
      </c>
      <c r="G11" s="38"/>
      <c r="H11" s="25" t="s">
        <v>67</v>
      </c>
      <c r="I11" s="46">
        <f ca="1">B55+B56</f>
        <v>-4077.5206666666668</v>
      </c>
      <c r="J11" s="27"/>
      <c r="N11" s="21">
        <f>SUM(N8:N10)</f>
        <v>6141.85</v>
      </c>
      <c r="P11" s="29"/>
      <c r="Q11" s="44"/>
      <c r="T11" s="29"/>
    </row>
    <row r="12" spans="1:20" x14ac:dyDescent="0.25">
      <c r="A12" s="206" t="s">
        <v>17</v>
      </c>
      <c r="B12" s="36">
        <f>C12/12</f>
        <v>442.5605562855892</v>
      </c>
      <c r="C12" s="36">
        <f>(4817*167.8/152.2)</f>
        <v>5310.7266754270704</v>
      </c>
      <c r="D12" s="40">
        <f>C12/C20</f>
        <v>0.1117951349566365</v>
      </c>
      <c r="E12" s="40">
        <f>C12/B50</f>
        <v>0.18503371526918794</v>
      </c>
      <c r="F12" s="41"/>
      <c r="H12" s="46" t="s">
        <v>68</v>
      </c>
      <c r="I12" s="46">
        <f ca="1">C33</f>
        <v>16554.003333333334</v>
      </c>
      <c r="J12" s="29"/>
      <c r="N12" s="21"/>
      <c r="P12" s="29"/>
      <c r="Q12" s="44"/>
      <c r="T12" s="29"/>
    </row>
    <row r="13" spans="1:20" x14ac:dyDescent="0.25">
      <c r="A13" s="206" t="s">
        <v>18</v>
      </c>
      <c r="B13" s="36">
        <f>C13/12</f>
        <v>950.11312379145693</v>
      </c>
      <c r="C13" s="36">
        <f>'2022 1P1C WPG'!C13*1.368</f>
        <v>11401.357485497483</v>
      </c>
      <c r="D13" s="40">
        <f>C13/C20</f>
        <v>0.24000788906680998</v>
      </c>
      <c r="E13" s="40">
        <f>C13/B50</f>
        <v>0.39724046511659655</v>
      </c>
      <c r="H13" s="43" t="s">
        <v>70</v>
      </c>
      <c r="I13" s="43">
        <f ca="1">I11-I12</f>
        <v>-20631.524000000001</v>
      </c>
      <c r="J13" s="38"/>
      <c r="K13" s="38"/>
      <c r="L13" s="38"/>
      <c r="P13" s="29"/>
      <c r="Q13" s="44"/>
      <c r="T13" s="29"/>
    </row>
    <row r="14" spans="1:20" s="49" customFormat="1" x14ac:dyDescent="0.25">
      <c r="A14" s="37" t="s">
        <v>19</v>
      </c>
      <c r="B14" s="47">
        <f>SUM(B9:B13)</f>
        <v>3107.1395564308432</v>
      </c>
      <c r="C14" s="47">
        <f>SUM(C9:C13)</f>
        <v>37285.674677170115</v>
      </c>
      <c r="D14" s="48">
        <f>C14/C20</f>
        <v>0.78489391136821629</v>
      </c>
      <c r="E14" s="48">
        <f>C14/B50</f>
        <v>1.2990890575780316</v>
      </c>
      <c r="G14" s="43"/>
      <c r="H14" s="46" t="s">
        <v>71</v>
      </c>
      <c r="I14" s="46">
        <f>B53+B54</f>
        <v>1826.9584199999999</v>
      </c>
      <c r="J14" s="43"/>
      <c r="K14" s="43"/>
      <c r="L14" s="43"/>
      <c r="N14" s="45"/>
      <c r="O14" s="50"/>
      <c r="P14" s="29"/>
      <c r="Q14" s="44"/>
      <c r="R14" s="21"/>
      <c r="S14" s="21"/>
      <c r="T14" s="29"/>
    </row>
    <row r="15" spans="1:20" x14ac:dyDescent="0.25">
      <c r="A15" s="206" t="s">
        <v>20</v>
      </c>
      <c r="B15" s="36">
        <f>C15/12</f>
        <v>511.82083333333338</v>
      </c>
      <c r="C15" s="36">
        <f>N11</f>
        <v>6141.85</v>
      </c>
      <c r="D15" s="40">
        <f>C15/C20</f>
        <v>0.12929095990017253</v>
      </c>
      <c r="E15" s="40">
        <f>C15/B50</f>
        <v>0.21399130356010512</v>
      </c>
      <c r="G15" s="38"/>
      <c r="H15" s="49" t="s">
        <v>72</v>
      </c>
      <c r="I15" s="43">
        <f ca="1">I13+I14</f>
        <v>-18804.565580000002</v>
      </c>
      <c r="J15" s="38"/>
      <c r="K15" s="38"/>
      <c r="L15" s="38"/>
      <c r="P15" s="29"/>
      <c r="Q15" s="44"/>
      <c r="R15" s="49"/>
      <c r="T15" s="29"/>
    </row>
    <row r="16" spans="1:20" x14ac:dyDescent="0.25">
      <c r="A16" s="206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L16" s="38"/>
      <c r="P16" s="29"/>
      <c r="Q16" s="44"/>
      <c r="T16" s="29"/>
    </row>
    <row r="17" spans="1:20" x14ac:dyDescent="0.25">
      <c r="A17" s="206" t="s">
        <v>22</v>
      </c>
      <c r="B17" s="36">
        <f>C17/12</f>
        <v>88.7</v>
      </c>
      <c r="C17" s="36">
        <f>(68.25+20.45)*12</f>
        <v>1064.4000000000001</v>
      </c>
      <c r="D17" s="40">
        <f>C17/C20</f>
        <v>2.2406489529660224E-2</v>
      </c>
      <c r="E17" s="40">
        <f>C17/B50</f>
        <v>3.7085298974962898E-2</v>
      </c>
      <c r="G17" s="38"/>
      <c r="H17" s="38"/>
      <c r="I17" s="38"/>
      <c r="J17" s="38"/>
      <c r="K17" s="38"/>
      <c r="L17" s="38"/>
      <c r="P17" s="29"/>
      <c r="Q17" s="44"/>
      <c r="T17" s="29"/>
    </row>
    <row r="18" spans="1:20" x14ac:dyDescent="0.25">
      <c r="A18" s="206" t="s">
        <v>23</v>
      </c>
      <c r="B18" s="36">
        <f>C18/12</f>
        <v>159.02250000000001</v>
      </c>
      <c r="C18" s="36">
        <v>1908.27</v>
      </c>
      <c r="D18" s="40">
        <f>C18/C20</f>
        <v>4.017064240395031E-2</v>
      </c>
      <c r="E18" s="40">
        <f>C18/B50</f>
        <v>6.6487000634115417E-2</v>
      </c>
      <c r="G18" s="38"/>
      <c r="H18" s="38"/>
      <c r="I18" s="38"/>
      <c r="J18" s="38"/>
      <c r="K18" s="38"/>
      <c r="L18" s="38"/>
      <c r="P18" s="29"/>
      <c r="Q18" s="44"/>
      <c r="T18" s="29"/>
    </row>
    <row r="19" spans="1:20" x14ac:dyDescent="0.25">
      <c r="A19" s="35" t="s">
        <v>24</v>
      </c>
      <c r="B19" s="36">
        <f>C19/12</f>
        <v>91.99166666666666</v>
      </c>
      <c r="C19" s="36">
        <f>B47*B48*2</f>
        <v>1103.8999999999999</v>
      </c>
      <c r="D19" s="40">
        <f>C19/C20</f>
        <v>2.3237996798000673E-2</v>
      </c>
      <c r="E19" s="40">
        <f>C19/B50</f>
        <v>3.8461538461538457E-2</v>
      </c>
      <c r="G19" s="38"/>
      <c r="H19" s="38"/>
      <c r="I19" s="38"/>
      <c r="J19" s="38"/>
      <c r="K19" s="38"/>
      <c r="L19" s="38"/>
      <c r="P19" s="29"/>
      <c r="Q19" s="44"/>
      <c r="T19" s="29"/>
    </row>
    <row r="20" spans="1:20" x14ac:dyDescent="0.25">
      <c r="A20" s="35" t="s">
        <v>25</v>
      </c>
      <c r="B20" s="36">
        <f>SUM(B9:B19)-B14</f>
        <v>3958.674556430843</v>
      </c>
      <c r="C20" s="36">
        <f>SUM(C9:C19)-C14</f>
        <v>47504.094677170113</v>
      </c>
      <c r="D20" s="40">
        <f>C20/C20</f>
        <v>1</v>
      </c>
      <c r="E20" s="40">
        <f>SUM(E9:E18)-E14</f>
        <v>1.6166526607472149</v>
      </c>
      <c r="G20" s="38"/>
      <c r="H20" s="38"/>
      <c r="I20" s="29"/>
      <c r="J20" s="38"/>
      <c r="K20" s="38"/>
      <c r="L20" s="38"/>
      <c r="P20" s="29"/>
      <c r="Q20" s="44"/>
      <c r="T20" s="29"/>
    </row>
    <row r="21" spans="1:20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L21" s="38"/>
      <c r="P21" s="29"/>
      <c r="Q21" s="44"/>
      <c r="T21" s="29"/>
    </row>
    <row r="22" spans="1:20" x14ac:dyDescent="0.25">
      <c r="B22" s="38"/>
      <c r="C22" s="38"/>
      <c r="P22" s="29"/>
      <c r="Q22" s="44"/>
      <c r="T22" s="29"/>
    </row>
    <row r="23" spans="1:20" ht="15.6" x14ac:dyDescent="0.3">
      <c r="B23" s="26" t="s">
        <v>73</v>
      </c>
      <c r="P23" s="29"/>
      <c r="Q23" s="44"/>
      <c r="T23" s="29"/>
    </row>
    <row r="24" spans="1:20" ht="12.75" customHeight="1" x14ac:dyDescent="0.3">
      <c r="C24" s="26"/>
      <c r="P24" s="29"/>
      <c r="Q24" s="44"/>
      <c r="T24" s="29"/>
    </row>
    <row r="25" spans="1:20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P25" s="29"/>
      <c r="Q25" s="44"/>
    </row>
    <row r="26" spans="1:20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L26" s="25"/>
      <c r="P26" s="29"/>
      <c r="Q26" s="44"/>
    </row>
    <row r="27" spans="1:20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L27" s="25"/>
      <c r="P27" s="29"/>
      <c r="Q27" s="44"/>
    </row>
    <row r="28" spans="1:20" x14ac:dyDescent="0.25">
      <c r="A28" s="206" t="s">
        <v>27</v>
      </c>
      <c r="B28" s="57">
        <f ca="1">C28/12</f>
        <v>569.41666666666663</v>
      </c>
      <c r="C28" s="36">
        <f ca="1">MAX(0,E28)</f>
        <v>6833</v>
      </c>
      <c r="E28" s="58">
        <f ca="1">IF(B52&lt;F28,(6833),IF(B52&lt;G28,(6833-(B52-F28)*0.07),(6833-(G28-F28)*0.07-(B52-G28)*0.032-2616)))</f>
        <v>6833</v>
      </c>
      <c r="F28" s="59">
        <v>32028</v>
      </c>
      <c r="G28" s="59">
        <v>69395</v>
      </c>
      <c r="H28" s="60">
        <f>(6400+5400-(G28-F28)*0.135)/0.057+G28</f>
        <v>187911.75438596489</v>
      </c>
      <c r="K28" s="25"/>
      <c r="L28" s="25"/>
      <c r="P28" s="29"/>
      <c r="Q28" s="44"/>
    </row>
    <row r="29" spans="1:20" x14ac:dyDescent="0.25">
      <c r="A29" s="206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P29" s="29"/>
      <c r="Q29" s="44"/>
    </row>
    <row r="30" spans="1:20" x14ac:dyDescent="0.25">
      <c r="A30" s="206" t="s">
        <v>28</v>
      </c>
      <c r="B30" s="36">
        <f ca="1">(C30)/12</f>
        <v>62.916666666666664</v>
      </c>
      <c r="C30" s="36">
        <f ca="1">G30</f>
        <v>755</v>
      </c>
      <c r="D30" s="25"/>
      <c r="E30" s="46">
        <f>299+299+157</f>
        <v>755</v>
      </c>
      <c r="F30" s="25">
        <f ca="1">IF((B52-38892)*0.05&gt;0,(B52-38892)*0.05,0)</f>
        <v>0</v>
      </c>
      <c r="G30" s="46">
        <f ca="1">IF(E30&gt;F30,E30-F30,0)</f>
        <v>755</v>
      </c>
      <c r="H30" s="38"/>
      <c r="I30" s="38"/>
      <c r="K30" s="25"/>
      <c r="L30" s="25"/>
      <c r="P30" s="29"/>
    </row>
    <row r="31" spans="1:20" x14ac:dyDescent="0.25">
      <c r="A31" s="206" t="s">
        <v>29</v>
      </c>
      <c r="B31" s="36">
        <f ca="1">C31/12</f>
        <v>253.11527777777778</v>
      </c>
      <c r="C31" s="36">
        <f ca="1">IF(C15&gt;F34,C15-F34,0)</f>
        <v>3037.3833333333332</v>
      </c>
      <c r="D31" s="46"/>
      <c r="E31" s="21" t="s">
        <v>137</v>
      </c>
      <c r="H31" s="38"/>
      <c r="J31" s="38"/>
      <c r="K31" s="25"/>
      <c r="L31" s="25"/>
    </row>
    <row r="32" spans="1:20" x14ac:dyDescent="0.25">
      <c r="A32" s="206" t="s">
        <v>82</v>
      </c>
      <c r="B32" s="36">
        <f ca="1">E32</f>
        <v>494.05166666666685</v>
      </c>
      <c r="C32" s="36">
        <f ca="1">E32*12</f>
        <v>5928.6200000000026</v>
      </c>
      <c r="D32" s="46"/>
      <c r="E32" s="46">
        <f ca="1">IF(B52&lt;39680,(0.8*1292-B52*0.3/12),0)</f>
        <v>494.05166666666685</v>
      </c>
      <c r="H32" s="38"/>
      <c r="J32" s="38"/>
      <c r="K32" s="25"/>
      <c r="L32" s="25"/>
    </row>
    <row r="33" spans="1:16" x14ac:dyDescent="0.25">
      <c r="A33" s="35" t="s">
        <v>25</v>
      </c>
      <c r="B33" s="36">
        <f ca="1">SUM(B26:B32)</f>
        <v>1379.5002777777779</v>
      </c>
      <c r="C33" s="36">
        <f ca="1">SUM(C26:C32)</f>
        <v>16554.003333333334</v>
      </c>
      <c r="E33" s="52" t="s">
        <v>83</v>
      </c>
      <c r="F33" s="52" t="s">
        <v>84</v>
      </c>
      <c r="G33" s="52"/>
      <c r="H33" s="38"/>
      <c r="I33" s="38"/>
      <c r="N33" s="27"/>
      <c r="O33" s="28"/>
      <c r="P33" s="61"/>
    </row>
    <row r="34" spans="1:16" x14ac:dyDescent="0.25">
      <c r="B34" s="38"/>
      <c r="C34" s="38"/>
      <c r="E34" s="21">
        <f>17520+9503</f>
        <v>27023</v>
      </c>
      <c r="F34" s="38">
        <f ca="1">IF(IF((B52-E34+7766)&lt;0,(B52-E34)*0.25,(B52-E34+7766)*0.5+1942)&gt;0,IF((B52-E34+7766)&lt;0,(B52-E34)*0.25,(B52-E34+7766)*0.5+1942),P8+N9)</f>
        <v>3104.4666666666653</v>
      </c>
      <c r="H34" s="38"/>
      <c r="I34" s="38"/>
    </row>
    <row r="35" spans="1:16" x14ac:dyDescent="0.25">
      <c r="B35" s="38"/>
      <c r="C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6" x14ac:dyDescent="0.25">
      <c r="A39" s="35" t="s">
        <v>31</v>
      </c>
      <c r="B39" s="36"/>
      <c r="C39" s="36">
        <f ca="1">C33+B57</f>
        <v>47505.965580000004</v>
      </c>
      <c r="E39" s="52"/>
      <c r="F39" s="52"/>
      <c r="G39" s="52"/>
      <c r="H39" s="53"/>
      <c r="I39" s="53"/>
    </row>
    <row r="40" spans="1:16" x14ac:dyDescent="0.25">
      <c r="A40" s="35" t="s">
        <v>120</v>
      </c>
      <c r="B40" s="36"/>
      <c r="C40" s="36">
        <f>C20</f>
        <v>47504.094677170113</v>
      </c>
      <c r="E40" s="52"/>
      <c r="F40" s="52"/>
      <c r="G40" s="52"/>
      <c r="H40" s="70"/>
      <c r="I40" s="53"/>
    </row>
    <row r="41" spans="1:16" x14ac:dyDescent="0.25">
      <c r="A41" s="35" t="s">
        <v>33</v>
      </c>
      <c r="B41" s="36"/>
      <c r="C41" s="36">
        <f ca="1">C39-C40</f>
        <v>1.8709028298908379</v>
      </c>
      <c r="E41" s="38"/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A44" s="63" t="s">
        <v>121</v>
      </c>
    </row>
    <row r="45" spans="1:16" x14ac:dyDescent="0.25">
      <c r="B45" s="27"/>
    </row>
    <row r="46" spans="1:16" s="45" customFormat="1" x14ac:dyDescent="0.25">
      <c r="A46" s="31"/>
      <c r="B46" s="71" t="s">
        <v>34</v>
      </c>
      <c r="C46" s="27"/>
      <c r="D46" s="27"/>
    </row>
    <row r="47" spans="1:16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6" x14ac:dyDescent="0.25">
      <c r="A48" s="35" t="s">
        <v>36</v>
      </c>
      <c r="B48" s="72">
        <v>15.77</v>
      </c>
      <c r="E48" s="45"/>
      <c r="F48" s="45"/>
      <c r="G48" s="45"/>
      <c r="H48" s="45"/>
      <c r="I48" s="45"/>
    </row>
    <row r="49" spans="1:18" ht="11.1" customHeight="1" x14ac:dyDescent="0.25">
      <c r="A49" s="30"/>
      <c r="B49" s="30"/>
      <c r="E49" s="45"/>
      <c r="F49" s="45"/>
      <c r="G49" s="45"/>
      <c r="H49" s="45"/>
      <c r="I49" s="45"/>
    </row>
    <row r="50" spans="1:18" x14ac:dyDescent="0.25">
      <c r="A50" s="35" t="s">
        <v>122</v>
      </c>
      <c r="B50" s="36">
        <f>B48*B47*52</f>
        <v>28701.399999999998</v>
      </c>
      <c r="E50" s="45"/>
      <c r="F50" s="52" t="s">
        <v>88</v>
      </c>
      <c r="I50" s="38"/>
      <c r="J50" s="21" t="s">
        <v>146</v>
      </c>
      <c r="K50" s="52" t="s">
        <v>88</v>
      </c>
      <c r="N50" s="21"/>
    </row>
    <row r="51" spans="1:18" x14ac:dyDescent="0.25">
      <c r="A51" s="35" t="s">
        <v>38</v>
      </c>
      <c r="B51" s="36">
        <f ca="1">-C15+C31-J51</f>
        <v>-7119.4666666666672</v>
      </c>
      <c r="E51" s="45"/>
      <c r="F51" s="52" t="s">
        <v>89</v>
      </c>
      <c r="G51" s="52" t="s">
        <v>90</v>
      </c>
      <c r="H51" s="52" t="s">
        <v>91</v>
      </c>
      <c r="I51" s="52" t="s">
        <v>92</v>
      </c>
      <c r="J51" s="21">
        <f>5.5*365*2</f>
        <v>4015</v>
      </c>
      <c r="K51" s="52" t="s">
        <v>89</v>
      </c>
      <c r="L51" s="52" t="s">
        <v>123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  <c r="R51" s="49" t="s">
        <v>163</v>
      </c>
    </row>
    <row r="52" spans="1:18" x14ac:dyDescent="0.25">
      <c r="A52" s="35" t="s">
        <v>39</v>
      </c>
      <c r="B52" s="36">
        <f ca="1">B50+B51</f>
        <v>21581.933333333331</v>
      </c>
      <c r="E52" s="45"/>
      <c r="F52" s="64">
        <v>1</v>
      </c>
      <c r="G52" s="46">
        <f ca="1">B52*0.15</f>
        <v>3237.2899999999995</v>
      </c>
      <c r="H52" s="46">
        <f ca="1">(L52+B53+B54+M52+N52+R52)*0.15</f>
        <v>4908.7755629999992</v>
      </c>
      <c r="I52" s="46">
        <f ca="1">IF(O52&gt;0, O52,0)+P52+Q52</f>
        <v>3903.34</v>
      </c>
      <c r="K52" s="21">
        <v>1</v>
      </c>
      <c r="L52" s="38">
        <f>13808+13808</f>
        <v>27616</v>
      </c>
      <c r="M52" s="38">
        <v>1257</v>
      </c>
      <c r="N52" s="21">
        <f ca="1">IF(C17-B52*0.03&gt;0,C17-B52*0.03,0)</f>
        <v>416.94200000000023</v>
      </c>
      <c r="O52" s="21">
        <f>MAX(IF((B50-3000)*0.27&lt;2403,(B50-3000)*0.27,2403)-IF(B50-26177&gt;0,B50-26177,0)*0.15,0)</f>
        <v>2024.3400000000004</v>
      </c>
      <c r="P52" s="21">
        <f ca="1">MIN(IF((0.25*L52 - 0.05*(B52-28446))&gt;0,(0.25*L52 - 0.05*(B52-28446)),0),1285)</f>
        <v>1285</v>
      </c>
      <c r="Q52" s="21">
        <f>360+180+(360+180)*0.1</f>
        <v>594</v>
      </c>
      <c r="R52" s="21">
        <v>1608.27</v>
      </c>
    </row>
    <row r="53" spans="1:18" x14ac:dyDescent="0.25">
      <c r="A53" s="206" t="s">
        <v>40</v>
      </c>
      <c r="B53" s="36">
        <f>IF(B50*0.0158&lt;889.54,B50*0.0158,889.54)</f>
        <v>453.48212000000001</v>
      </c>
      <c r="E53" s="45"/>
      <c r="F53" s="64"/>
      <c r="G53" s="46"/>
      <c r="H53" s="46"/>
      <c r="I53" s="38"/>
    </row>
    <row r="54" spans="1:18" x14ac:dyDescent="0.25">
      <c r="A54" s="206" t="s">
        <v>41</v>
      </c>
      <c r="B54" s="36">
        <f>IF(((B50-3500)*0.0545)&lt;3166.45,(B50-3500)*0.0545,3166.45)</f>
        <v>1373.4762999999998</v>
      </c>
      <c r="C54" s="45"/>
      <c r="E54" s="45"/>
    </row>
    <row r="55" spans="1:18" x14ac:dyDescent="0.25">
      <c r="A55" s="206" t="s">
        <v>42</v>
      </c>
      <c r="B55" s="36">
        <f ca="1">IF(G52-H52&lt;0,-I52,G52-H52)</f>
        <v>-3903.34</v>
      </c>
      <c r="C55" s="45"/>
      <c r="E55" s="45"/>
      <c r="F55" s="52" t="s">
        <v>99</v>
      </c>
      <c r="I55" s="38"/>
      <c r="K55" s="52" t="s">
        <v>99</v>
      </c>
      <c r="N55" s="21"/>
    </row>
    <row r="56" spans="1:18" x14ac:dyDescent="0.25">
      <c r="A56" s="206" t="s">
        <v>43</v>
      </c>
      <c r="B56" s="36">
        <f ca="1">IF(G57-H57&lt;0,0,G57-H57)-I57</f>
        <v>-174.18066666666664</v>
      </c>
      <c r="C56" s="38"/>
      <c r="E56" s="46"/>
      <c r="F56" s="52" t="s">
        <v>89</v>
      </c>
      <c r="G56" s="52" t="s">
        <v>90</v>
      </c>
      <c r="H56" s="52" t="s">
        <v>91</v>
      </c>
      <c r="I56" s="52" t="s">
        <v>100</v>
      </c>
      <c r="K56" s="52" t="s">
        <v>89</v>
      </c>
      <c r="L56" s="52" t="s">
        <v>123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8" x14ac:dyDescent="0.25">
      <c r="A57" s="35" t="s">
        <v>44</v>
      </c>
      <c r="B57" s="36">
        <f ca="1">B50-SUM(B53:B56)</f>
        <v>30951.962246666666</v>
      </c>
      <c r="E57" s="38"/>
      <c r="F57" s="64">
        <v>1</v>
      </c>
      <c r="G57" s="46">
        <f ca="1">IF(B52&lt;33723,B52*0.108,(B52-33723)*0.1275+(33723*0.108))</f>
        <v>2330.8487999999998</v>
      </c>
      <c r="H57" s="46">
        <f ca="1">(L57+B53+B54+M57+N57+O57)*0.108</f>
        <v>2815.5380133599997</v>
      </c>
      <c r="I57" s="46">
        <f ca="1">P57+Q57</f>
        <v>174.1806666666667</v>
      </c>
      <c r="K57" s="21">
        <v>1</v>
      </c>
      <c r="L57" s="21">
        <f>9936+9134</f>
        <v>19070</v>
      </c>
      <c r="M57" s="38">
        <f>1608.27+120*8</f>
        <v>2568.27</v>
      </c>
      <c r="N57" s="45">
        <f ca="1">IF(2065*2-B52*0.09&gt;0,2065*2-B52*0.09,0)</f>
        <v>2187.6260000000002</v>
      </c>
      <c r="O57" s="21">
        <f ca="1">IF(C17-B52*0.03&gt;0,C17-B52*0.03,0)</f>
        <v>416.94200000000023</v>
      </c>
      <c r="P57" s="21">
        <f ca="1">IF(195+195-(B52*0.01)&gt;0,195+195-(B52*0.01),0)</f>
        <v>174.1806666666667</v>
      </c>
      <c r="Q57" s="21">
        <f ca="1">525-(IF(C32&gt;525,525,C32))</f>
        <v>0</v>
      </c>
    </row>
    <row r="58" spans="1:18" x14ac:dyDescent="0.25">
      <c r="A58" s="35" t="s">
        <v>45</v>
      </c>
      <c r="B58" s="36">
        <f ca="1">B57/12</f>
        <v>2579.3301872222223</v>
      </c>
      <c r="F58" s="64"/>
      <c r="G58" s="46"/>
      <c r="H58" s="46"/>
      <c r="I58" s="46"/>
    </row>
    <row r="59" spans="1:18" x14ac:dyDescent="0.25">
      <c r="B59" s="38"/>
      <c r="C59" s="38"/>
      <c r="D59" s="38"/>
    </row>
    <row r="60" spans="1:18" x14ac:dyDescent="0.25">
      <c r="B60" s="38"/>
      <c r="C60" s="38"/>
      <c r="D60" s="38"/>
    </row>
    <row r="61" spans="1:18" s="28" customFormat="1" x14ac:dyDescent="0.25">
      <c r="B61" s="28" t="s">
        <v>124</v>
      </c>
      <c r="N61" s="27"/>
    </row>
    <row r="63" spans="1:18" x14ac:dyDescent="0.25">
      <c r="A63" s="21" t="s">
        <v>106</v>
      </c>
      <c r="D63" s="38">
        <f>B50</f>
        <v>28701.399999999998</v>
      </c>
    </row>
    <row r="64" spans="1:18" x14ac:dyDescent="0.25">
      <c r="A64" s="21" t="s">
        <v>107</v>
      </c>
      <c r="D64" s="38">
        <f ca="1">SUM(B53:B56)</f>
        <v>-2250.5622466666669</v>
      </c>
    </row>
    <row r="65" spans="1:9" x14ac:dyDescent="0.25">
      <c r="A65" s="21" t="s">
        <v>108</v>
      </c>
      <c r="D65" s="38">
        <f ca="1">D63-D64</f>
        <v>30951.962246666666</v>
      </c>
    </row>
    <row r="66" spans="1:9" x14ac:dyDescent="0.25">
      <c r="A66" s="21" t="s">
        <v>109</v>
      </c>
      <c r="D66" s="38">
        <f ca="1">C33</f>
        <v>16554.003333333334</v>
      </c>
    </row>
    <row r="67" spans="1:9" x14ac:dyDescent="0.25">
      <c r="A67" s="21" t="s">
        <v>110</v>
      </c>
      <c r="D67" s="38">
        <f ca="1">D65+D66</f>
        <v>47505.965580000004</v>
      </c>
    </row>
    <row r="68" spans="1:9" x14ac:dyDescent="0.25">
      <c r="A68" s="21" t="s">
        <v>111</v>
      </c>
      <c r="D68" s="38">
        <f>C20</f>
        <v>47504.094677170113</v>
      </c>
    </row>
    <row r="69" spans="1:9" x14ac:dyDescent="0.25">
      <c r="A69" s="21" t="s">
        <v>112</v>
      </c>
      <c r="D69" s="38">
        <f ca="1">D67-D68</f>
        <v>1.8709028298908379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13"/>
  <sheetViews>
    <sheetView topLeftCell="A7" workbookViewId="0">
      <selection activeCell="C13" sqref="C13"/>
    </sheetView>
  </sheetViews>
  <sheetFormatPr defaultColWidth="8.5546875" defaultRowHeight="13.2" x14ac:dyDescent="0.25"/>
  <cols>
    <col min="1" max="1" width="16.5546875" style="21" customWidth="1"/>
    <col min="2" max="3" width="9.5546875" style="21" customWidth="1"/>
    <col min="4" max="4" width="8.5546875" style="2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30" style="21" customWidth="1"/>
    <col min="12" max="12" width="9.21875" style="21" customWidth="1"/>
    <col min="13" max="13" width="8.5546875" style="21"/>
    <col min="14" max="14" width="15.44140625" style="45" customWidth="1"/>
    <col min="15" max="15" width="8.5546875" style="21"/>
    <col min="16" max="16" width="8" style="21" customWidth="1"/>
    <col min="17" max="17" width="7.44140625" style="21" customWidth="1"/>
    <col min="18" max="16384" width="8.5546875" style="21"/>
  </cols>
  <sheetData>
    <row r="1" spans="1:20" ht="17.399999999999999" x14ac:dyDescent="0.3">
      <c r="A1" s="20" t="s">
        <v>147</v>
      </c>
      <c r="B1" s="20"/>
    </row>
    <row r="2" spans="1:20" s="22" customFormat="1" ht="15" customHeight="1" x14ac:dyDescent="0.3">
      <c r="C2" s="22" t="s">
        <v>115</v>
      </c>
      <c r="D2" s="23"/>
      <c r="E2" s="24"/>
      <c r="N2" s="68"/>
    </row>
    <row r="3" spans="1:20" ht="15.6" x14ac:dyDescent="0.3">
      <c r="A3" s="25"/>
      <c r="C3" s="21" t="s">
        <v>116</v>
      </c>
      <c r="D3" s="23"/>
      <c r="E3" s="24"/>
      <c r="F3" s="22"/>
      <c r="G3" s="22"/>
      <c r="H3" s="22"/>
      <c r="I3" s="22"/>
      <c r="J3" s="22"/>
    </row>
    <row r="4" spans="1:20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20" ht="15.6" x14ac:dyDescent="0.3">
      <c r="B5" s="26" t="s">
        <v>49</v>
      </c>
      <c r="K5" s="21" t="s">
        <v>145</v>
      </c>
      <c r="N5" s="27"/>
      <c r="O5" s="28"/>
      <c r="P5" s="28"/>
      <c r="Q5" s="28"/>
    </row>
    <row r="6" spans="1:20" ht="12.75" customHeight="1" x14ac:dyDescent="0.3">
      <c r="C6" s="26"/>
      <c r="J6" s="27"/>
      <c r="L6" s="21" t="s">
        <v>117</v>
      </c>
      <c r="O6" s="45"/>
      <c r="R6" s="29"/>
    </row>
    <row r="7" spans="1:20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27172.6</v>
      </c>
      <c r="J7" s="27"/>
      <c r="K7" s="21" t="s">
        <v>54</v>
      </c>
      <c r="L7" s="21" t="s">
        <v>55</v>
      </c>
      <c r="M7" s="21" t="s">
        <v>56</v>
      </c>
      <c r="N7" s="21" t="s">
        <v>57</v>
      </c>
      <c r="O7" s="21" t="s">
        <v>58</v>
      </c>
      <c r="P7" s="21" t="s">
        <v>59</v>
      </c>
    </row>
    <row r="8" spans="1:20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13941.863333333335</v>
      </c>
      <c r="J8" s="38"/>
      <c r="K8" s="21" t="s">
        <v>63</v>
      </c>
      <c r="L8" s="21">
        <v>243</v>
      </c>
      <c r="M8" s="21">
        <v>20.8</v>
      </c>
      <c r="N8" s="21">
        <f>L8*M8</f>
        <v>5054.4000000000005</v>
      </c>
      <c r="O8" s="21">
        <v>2</v>
      </c>
      <c r="P8" s="21">
        <f>O8*L8</f>
        <v>486</v>
      </c>
      <c r="Q8" s="44"/>
    </row>
    <row r="9" spans="1:20" x14ac:dyDescent="0.25">
      <c r="A9" s="35" t="s">
        <v>14</v>
      </c>
      <c r="B9" s="36">
        <f>C9/12</f>
        <v>451.02094297635591</v>
      </c>
      <c r="C9" s="36">
        <f>0.912*((10983*(148/143.8))/2)*1.05</f>
        <v>5412.2513157162712</v>
      </c>
      <c r="D9" s="40">
        <f>C9/C20</f>
        <v>0.12755721514903751</v>
      </c>
      <c r="E9" s="40">
        <f>C9/B50</f>
        <v>0.19918047281880538</v>
      </c>
      <c r="F9" s="41"/>
      <c r="G9" s="38"/>
      <c r="H9" s="42" t="s">
        <v>64</v>
      </c>
      <c r="I9" s="43">
        <f ca="1">I7+I8</f>
        <v>41114.463333333333</v>
      </c>
      <c r="J9" s="27"/>
      <c r="K9" s="21" t="s">
        <v>69</v>
      </c>
      <c r="N9" s="21">
        <f>11.65*3.5*26</f>
        <v>1060.1499999999999</v>
      </c>
      <c r="P9" s="29"/>
      <c r="Q9" s="44"/>
      <c r="T9" s="29"/>
    </row>
    <row r="10" spans="1:20" x14ac:dyDescent="0.25">
      <c r="A10" s="35" t="s">
        <v>15</v>
      </c>
      <c r="B10" s="36">
        <f>C10/12</f>
        <v>167.95090759724792</v>
      </c>
      <c r="C10" s="36">
        <f>((2042*(95.4/93.5))/2)*SQRT(2)*1.368</f>
        <v>2015.410891166975</v>
      </c>
      <c r="D10" s="40">
        <f>C10/C20</f>
        <v>4.7499679091357314E-2</v>
      </c>
      <c r="E10" s="40">
        <f>C10/B50</f>
        <v>7.4170704723396916E-2</v>
      </c>
      <c r="F10" s="41"/>
      <c r="H10" s="45"/>
      <c r="I10" s="45"/>
      <c r="J10" s="38"/>
      <c r="N10" s="21"/>
      <c r="P10" s="29"/>
      <c r="Q10" s="44"/>
      <c r="T10" s="29"/>
    </row>
    <row r="11" spans="1:20" x14ac:dyDescent="0.25">
      <c r="A11" s="35" t="s">
        <v>16</v>
      </c>
      <c r="B11" s="36">
        <f>C11/12</f>
        <v>1068.7967885288965</v>
      </c>
      <c r="C11" s="36">
        <f>(986*12)+(487.63*(158.1/114.2))+(26.54*12)</f>
        <v>12825.561462346759</v>
      </c>
      <c r="D11" s="40">
        <f>C11/C20</f>
        <v>0.30227585664936152</v>
      </c>
      <c r="E11" s="40">
        <f>C11/B50</f>
        <v>0.47200346902198392</v>
      </c>
      <c r="G11" s="38"/>
      <c r="H11" s="25" t="s">
        <v>67</v>
      </c>
      <c r="I11" s="46">
        <f ca="1">B55+B56</f>
        <v>-2965.9606666666673</v>
      </c>
      <c r="J11" s="27"/>
      <c r="N11" s="21">
        <f>SUM(N8:N10)</f>
        <v>6114.55</v>
      </c>
      <c r="P11" s="29"/>
      <c r="Q11" s="44"/>
      <c r="T11" s="29"/>
    </row>
    <row r="12" spans="1:20" x14ac:dyDescent="0.25">
      <c r="A12" s="35" t="s">
        <v>17</v>
      </c>
      <c r="B12" s="36">
        <f>C12/12</f>
        <v>404.92024031489535</v>
      </c>
      <c r="C12" s="36">
        <f>(4850*161.2/160.9)</f>
        <v>4859.042883778744</v>
      </c>
      <c r="D12" s="40">
        <f>C12/C20</f>
        <v>0.11451906838559994</v>
      </c>
      <c r="E12" s="40">
        <f>C12/B50</f>
        <v>0.17882141877401295</v>
      </c>
      <c r="F12" s="41"/>
      <c r="H12" s="46" t="s">
        <v>68</v>
      </c>
      <c r="I12" s="46">
        <f ca="1">C33</f>
        <v>13941.863333333335</v>
      </c>
      <c r="J12" s="29"/>
      <c r="N12" s="21"/>
      <c r="P12" s="29"/>
      <c r="Q12" s="44"/>
      <c r="T12" s="29"/>
    </row>
    <row r="13" spans="1:20" x14ac:dyDescent="0.25">
      <c r="A13" s="35" t="s">
        <v>18</v>
      </c>
      <c r="B13" s="36">
        <f>C13/12</f>
        <v>608.53942289375459</v>
      </c>
      <c r="C13" s="36">
        <f>'2020 1P1C WPG'!C13*1.368</f>
        <v>7302.4730747250551</v>
      </c>
      <c r="D13" s="40">
        <f>C13/C20</f>
        <v>0.17210640725568052</v>
      </c>
      <c r="E13" s="40">
        <f>C13/B50</f>
        <v>0.26874399485971368</v>
      </c>
      <c r="H13" s="43" t="s">
        <v>70</v>
      </c>
      <c r="I13" s="43">
        <f ca="1">I11-I12</f>
        <v>-16907.824000000001</v>
      </c>
      <c r="J13" s="38"/>
      <c r="K13" s="38"/>
      <c r="L13" s="38"/>
      <c r="P13" s="29"/>
      <c r="Q13" s="44"/>
      <c r="T13" s="29"/>
    </row>
    <row r="14" spans="1:20" s="49" customFormat="1" x14ac:dyDescent="0.25">
      <c r="A14" s="37" t="s">
        <v>19</v>
      </c>
      <c r="B14" s="47">
        <f>SUM(B9:B13)</f>
        <v>2701.2283023111504</v>
      </c>
      <c r="C14" s="47">
        <f>SUM(C9:C13)</f>
        <v>32414.739627733805</v>
      </c>
      <c r="D14" s="48">
        <f>C14/C20</f>
        <v>0.76395822653103684</v>
      </c>
      <c r="E14" s="48">
        <f>C14/B50</f>
        <v>1.1929200601979129</v>
      </c>
      <c r="G14" s="43"/>
      <c r="H14" s="46" t="s">
        <v>71</v>
      </c>
      <c r="I14" s="46">
        <f>B53+B54</f>
        <v>1647.4987199999996</v>
      </c>
      <c r="J14" s="43"/>
      <c r="K14" s="43"/>
      <c r="L14" s="43"/>
      <c r="N14" s="45"/>
      <c r="O14" s="50"/>
      <c r="P14" s="29"/>
      <c r="Q14" s="44"/>
      <c r="R14" s="21"/>
      <c r="S14" s="21"/>
      <c r="T14" s="29"/>
    </row>
    <row r="15" spans="1:20" x14ac:dyDescent="0.25">
      <c r="A15" s="35" t="s">
        <v>20</v>
      </c>
      <c r="B15" s="36">
        <f>C15/12</f>
        <v>509.54583333333335</v>
      </c>
      <c r="C15" s="36">
        <f>N11</f>
        <v>6114.55</v>
      </c>
      <c r="D15" s="40">
        <f>C15/C20</f>
        <v>0.1441091561333615</v>
      </c>
      <c r="E15" s="40">
        <f>C15/B50</f>
        <v>0.22502631327145731</v>
      </c>
      <c r="G15" s="38"/>
      <c r="H15" s="49" t="s">
        <v>72</v>
      </c>
      <c r="I15" s="43">
        <f ca="1">I13+I14</f>
        <v>-15260.325280000001</v>
      </c>
      <c r="J15" s="38"/>
      <c r="K15" s="38"/>
      <c r="L15" s="38"/>
      <c r="P15" s="29"/>
      <c r="Q15" s="44"/>
      <c r="R15" s="49"/>
      <c r="T15" s="29"/>
    </row>
    <row r="16" spans="1:20" x14ac:dyDescent="0.25">
      <c r="A16" s="3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L16" s="38"/>
      <c r="P16" s="29"/>
      <c r="Q16" s="44"/>
      <c r="T16" s="29"/>
    </row>
    <row r="17" spans="1:20" x14ac:dyDescent="0.25">
      <c r="A17" s="35" t="s">
        <v>22</v>
      </c>
      <c r="B17" s="36">
        <f>C17/12</f>
        <v>88.7</v>
      </c>
      <c r="C17" s="36">
        <f>(68.25+20.45)*12</f>
        <v>1064.4000000000001</v>
      </c>
      <c r="D17" s="40">
        <f>C17/C20</f>
        <v>2.5086030172024106E-2</v>
      </c>
      <c r="E17" s="40">
        <f>C17/B50</f>
        <v>3.917181278199363E-2</v>
      </c>
      <c r="G17" s="38"/>
      <c r="H17" s="38"/>
      <c r="I17" s="38"/>
      <c r="J17" s="38"/>
      <c r="K17" s="38"/>
      <c r="L17" s="38"/>
      <c r="P17" s="29"/>
      <c r="Q17" s="44"/>
      <c r="T17" s="29"/>
    </row>
    <row r="18" spans="1:20" x14ac:dyDescent="0.25">
      <c r="A18" s="35" t="s">
        <v>23</v>
      </c>
      <c r="B18" s="36">
        <f>C18/12</f>
        <v>149.26666666666668</v>
      </c>
      <c r="C18" s="36">
        <v>1791.2</v>
      </c>
      <c r="D18" s="40">
        <f>C18/C20</f>
        <v>4.2215423942248753E-2</v>
      </c>
      <c r="E18" s="40">
        <f>C18/B50</f>
        <v>6.5919345222761175E-2</v>
      </c>
      <c r="G18" s="38"/>
      <c r="H18" s="38"/>
      <c r="I18" s="38"/>
      <c r="J18" s="38"/>
      <c r="K18" s="38"/>
      <c r="L18" s="38"/>
      <c r="P18" s="29"/>
      <c r="Q18" s="44"/>
      <c r="T18" s="29"/>
    </row>
    <row r="19" spans="1:20" x14ac:dyDescent="0.25">
      <c r="A19" s="35" t="s">
        <v>24</v>
      </c>
      <c r="B19" s="36">
        <f>C19/12</f>
        <v>87.091666666666654</v>
      </c>
      <c r="C19" s="36">
        <f>B47*B48*2</f>
        <v>1045.0999999999999</v>
      </c>
      <c r="D19" s="40">
        <f>C19/C20</f>
        <v>2.4631163221328814E-2</v>
      </c>
      <c r="E19" s="40">
        <f>C19/B50</f>
        <v>3.8461538461538464E-2</v>
      </c>
      <c r="G19" s="38"/>
      <c r="H19" s="38"/>
      <c r="I19" s="38"/>
      <c r="J19" s="38"/>
      <c r="K19" s="38"/>
      <c r="L19" s="38"/>
      <c r="P19" s="29"/>
      <c r="Q19" s="44"/>
      <c r="T19" s="29"/>
    </row>
    <row r="20" spans="1:20" x14ac:dyDescent="0.25">
      <c r="A20" s="35" t="s">
        <v>25</v>
      </c>
      <c r="B20" s="36">
        <f>SUM(B9:B19)-B14</f>
        <v>3535.8324689778165</v>
      </c>
      <c r="C20" s="36">
        <f>SUM(C9:C19)-C14</f>
        <v>42429.989627733805</v>
      </c>
      <c r="D20" s="40">
        <f>C20/C20</f>
        <v>1</v>
      </c>
      <c r="E20" s="40">
        <f>SUM(E9:E18)-E14</f>
        <v>1.5230375314741251</v>
      </c>
      <c r="G20" s="38"/>
      <c r="H20" s="38"/>
      <c r="I20" s="29"/>
      <c r="J20" s="38"/>
      <c r="K20" s="38"/>
      <c r="L20" s="38"/>
      <c r="P20" s="29"/>
      <c r="Q20" s="44"/>
      <c r="T20" s="29"/>
    </row>
    <row r="21" spans="1:20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L21" s="38"/>
      <c r="P21" s="29"/>
      <c r="Q21" s="44"/>
      <c r="T21" s="29"/>
    </row>
    <row r="22" spans="1:20" x14ac:dyDescent="0.25">
      <c r="B22" s="38"/>
      <c r="C22" s="38"/>
      <c r="P22" s="29"/>
      <c r="Q22" s="44"/>
      <c r="T22" s="29"/>
    </row>
    <row r="23" spans="1:20" ht="15.6" x14ac:dyDescent="0.3">
      <c r="B23" s="26" t="s">
        <v>73</v>
      </c>
      <c r="P23" s="29"/>
      <c r="Q23" s="44"/>
      <c r="T23" s="29"/>
    </row>
    <row r="24" spans="1:20" ht="12.75" customHeight="1" x14ac:dyDescent="0.3">
      <c r="C24" s="26"/>
      <c r="P24" s="29"/>
      <c r="Q24" s="44"/>
      <c r="T24" s="29"/>
    </row>
    <row r="25" spans="1:20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P25" s="29"/>
      <c r="Q25" s="44"/>
    </row>
    <row r="26" spans="1:20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L26" s="25"/>
      <c r="P26" s="29"/>
      <c r="Q26" s="44"/>
    </row>
    <row r="27" spans="1:20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L27" s="25"/>
      <c r="P27" s="29"/>
      <c r="Q27" s="44"/>
    </row>
    <row r="28" spans="1:20" x14ac:dyDescent="0.25">
      <c r="A28" s="35" t="s">
        <v>27</v>
      </c>
      <c r="B28" s="57">
        <f ca="1">C28/12</f>
        <v>553.25</v>
      </c>
      <c r="C28" s="36">
        <f ca="1">MAX(0,E28)</f>
        <v>6639</v>
      </c>
      <c r="E28" s="58">
        <f ca="1">IF(B52&lt;F28,(6639),IF(B52&lt;G28,(6639-(B52-F28)*0.07),(6639-(G28-F28)*0.07-(B52-G28)*0.032-2541)))</f>
        <v>6639</v>
      </c>
      <c r="F28" s="59">
        <v>31120</v>
      </c>
      <c r="G28" s="59">
        <v>67426</v>
      </c>
      <c r="H28" s="60">
        <f>(6400+5400-(G28-F28)*0.135)/0.057+G28</f>
        <v>188455.64912280702</v>
      </c>
      <c r="K28" s="25"/>
      <c r="L28" s="25"/>
      <c r="P28" s="29"/>
      <c r="Q28" s="44"/>
    </row>
    <row r="29" spans="1:20" x14ac:dyDescent="0.25">
      <c r="A29" s="35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P29" s="29"/>
      <c r="Q29" s="44"/>
    </row>
    <row r="30" spans="1:20" x14ac:dyDescent="0.25">
      <c r="A30" s="35" t="s">
        <v>28</v>
      </c>
      <c r="B30" s="36">
        <f ca="1">(C30)/12</f>
        <v>61.083333333333336</v>
      </c>
      <c r="C30" s="36">
        <f ca="1">G30</f>
        <v>733</v>
      </c>
      <c r="D30" s="25"/>
      <c r="E30" s="46">
        <f>290+290+153</f>
        <v>733</v>
      </c>
      <c r="F30" s="25">
        <f ca="1">IF((B52-37789)*0.05&gt;0,(B52-37789)*0.05,0)</f>
        <v>0</v>
      </c>
      <c r="G30" s="46">
        <f ca="1">IF(E30&gt;F30,E30-F30,0)</f>
        <v>733</v>
      </c>
      <c r="H30" s="38"/>
      <c r="I30" s="38"/>
      <c r="K30" s="25"/>
      <c r="L30" s="25"/>
      <c r="P30" s="29"/>
    </row>
    <row r="31" spans="1:20" x14ac:dyDescent="0.25">
      <c r="A31" s="35" t="s">
        <v>29</v>
      </c>
      <c r="B31" s="36">
        <f ca="1">C31/12</f>
        <v>160.80694444444444</v>
      </c>
      <c r="C31" s="36">
        <f ca="1">IF(C15&gt;F34,C15-F34,0)</f>
        <v>1929.6833333333334</v>
      </c>
      <c r="D31" s="46"/>
      <c r="E31" s="21" t="s">
        <v>137</v>
      </c>
      <c r="H31" s="38"/>
      <c r="J31" s="38"/>
      <c r="K31" s="25"/>
      <c r="L31" s="25"/>
    </row>
    <row r="32" spans="1:20" x14ac:dyDescent="0.25">
      <c r="A32" s="35" t="s">
        <v>82</v>
      </c>
      <c r="B32" s="36">
        <f ca="1">E32</f>
        <v>386.68166666666667</v>
      </c>
      <c r="C32" s="36">
        <f ca="1">E32*12</f>
        <v>4640.18</v>
      </c>
      <c r="D32" s="46"/>
      <c r="E32" s="46">
        <f ca="1">IF(B52&lt;35840,(0.75*1148-B52*0.3/12),0)</f>
        <v>386.68166666666679</v>
      </c>
      <c r="H32" s="38"/>
      <c r="J32" s="38"/>
      <c r="K32" s="25"/>
      <c r="L32" s="25"/>
    </row>
    <row r="33" spans="1:16" x14ac:dyDescent="0.25">
      <c r="A33" s="35" t="s">
        <v>25</v>
      </c>
      <c r="B33" s="36">
        <f ca="1">SUM(B26:B32)</f>
        <v>1161.8219444444444</v>
      </c>
      <c r="C33" s="36">
        <f ca="1">SUM(C26:C32)</f>
        <v>13941.863333333335</v>
      </c>
      <c r="E33" s="52" t="s">
        <v>83</v>
      </c>
      <c r="F33" s="52" t="s">
        <v>84</v>
      </c>
      <c r="G33" s="52"/>
      <c r="H33" s="38"/>
      <c r="I33" s="38"/>
      <c r="N33" s="27"/>
      <c r="O33" s="28"/>
      <c r="P33" s="61"/>
    </row>
    <row r="34" spans="1:16" x14ac:dyDescent="0.25">
      <c r="B34" s="38"/>
      <c r="C34" s="38"/>
      <c r="E34" s="21">
        <f>12083+6554</f>
        <v>18637</v>
      </c>
      <c r="F34" s="38">
        <f ca="1">IF(IF((B52-E34+5356)&lt;0,(B52-E34)*0.25,(B52-E34+5356)*0.5+1339)&gt;0,IF((B52-E34+5356)&lt;0,(B52-E34)*0.25,(B52-E34+5356)*0.5+1339),P8+N9)</f>
        <v>4184.866666666665</v>
      </c>
      <c r="H34" s="38"/>
      <c r="I34" s="38"/>
    </row>
    <row r="35" spans="1:16" x14ac:dyDescent="0.25">
      <c r="B35" s="38"/>
      <c r="C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6" x14ac:dyDescent="0.25">
      <c r="A39" s="35" t="s">
        <v>31</v>
      </c>
      <c r="B39" s="36"/>
      <c r="C39" s="36">
        <f ca="1">C33+B57</f>
        <v>42432.925279999996</v>
      </c>
      <c r="E39" s="52"/>
      <c r="F39" s="52"/>
      <c r="G39" s="52"/>
      <c r="H39" s="53"/>
      <c r="I39" s="53"/>
    </row>
    <row r="40" spans="1:16" x14ac:dyDescent="0.25">
      <c r="A40" s="35" t="s">
        <v>120</v>
      </c>
      <c r="B40" s="36"/>
      <c r="C40" s="36">
        <f>C20</f>
        <v>42429.989627733805</v>
      </c>
      <c r="E40" s="52"/>
      <c r="F40" s="52"/>
      <c r="G40" s="52"/>
      <c r="H40" s="70"/>
      <c r="I40" s="53"/>
    </row>
    <row r="41" spans="1:16" x14ac:dyDescent="0.25">
      <c r="A41" s="35" t="s">
        <v>33</v>
      </c>
      <c r="B41" s="36"/>
      <c r="C41" s="36">
        <f ca="1">C39-C40</f>
        <v>2.9356522661910276</v>
      </c>
      <c r="E41" s="38"/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A44" s="63" t="s">
        <v>121</v>
      </c>
    </row>
    <row r="45" spans="1:16" x14ac:dyDescent="0.25">
      <c r="B45" s="27"/>
    </row>
    <row r="46" spans="1:16" s="45" customFormat="1" x14ac:dyDescent="0.25">
      <c r="A46" s="31"/>
      <c r="B46" s="71" t="s">
        <v>34</v>
      </c>
      <c r="C46" s="27"/>
      <c r="D46" s="27"/>
    </row>
    <row r="47" spans="1:16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6" x14ac:dyDescent="0.25">
      <c r="A48" s="35" t="s">
        <v>36</v>
      </c>
      <c r="B48" s="72">
        <v>14.93</v>
      </c>
      <c r="E48" s="45"/>
      <c r="F48" s="45"/>
      <c r="G48" s="45"/>
      <c r="H48" s="45"/>
      <c r="I48" s="45"/>
    </row>
    <row r="49" spans="1:17" ht="3.75" customHeight="1" x14ac:dyDescent="0.25">
      <c r="A49" s="30"/>
      <c r="B49" s="30">
        <v>16</v>
      </c>
      <c r="E49" s="45"/>
      <c r="F49" s="45"/>
      <c r="G49" s="45"/>
      <c r="H49" s="45"/>
      <c r="I49" s="45"/>
    </row>
    <row r="50" spans="1:17" x14ac:dyDescent="0.25">
      <c r="A50" s="35" t="s">
        <v>122</v>
      </c>
      <c r="B50" s="36">
        <f>B48*B47*52</f>
        <v>27172.6</v>
      </c>
      <c r="E50" s="45"/>
      <c r="F50" s="52" t="s">
        <v>88</v>
      </c>
      <c r="I50" s="38"/>
      <c r="J50" s="21" t="s">
        <v>146</v>
      </c>
      <c r="K50" s="52" t="s">
        <v>88</v>
      </c>
      <c r="N50" s="21"/>
    </row>
    <row r="51" spans="1:17" x14ac:dyDescent="0.25">
      <c r="A51" s="35" t="s">
        <v>38</v>
      </c>
      <c r="B51" s="36">
        <f ca="1">-C15+C31-J51</f>
        <v>-8199.8666666666668</v>
      </c>
      <c r="E51" s="45"/>
      <c r="F51" s="52" t="s">
        <v>89</v>
      </c>
      <c r="G51" s="52" t="s">
        <v>90</v>
      </c>
      <c r="H51" s="52" t="s">
        <v>91</v>
      </c>
      <c r="I51" s="52" t="s">
        <v>92</v>
      </c>
      <c r="J51" s="21">
        <f>5.5*365*2</f>
        <v>4015</v>
      </c>
      <c r="K51" s="52" t="s">
        <v>89</v>
      </c>
      <c r="L51" s="52" t="s">
        <v>123</v>
      </c>
      <c r="M51" s="52" t="s">
        <v>94</v>
      </c>
      <c r="N51" s="52" t="s">
        <v>95</v>
      </c>
      <c r="O51" s="52" t="s">
        <v>96</v>
      </c>
      <c r="P51" s="52" t="s">
        <v>97</v>
      </c>
      <c r="Q51" s="52" t="s">
        <v>98</v>
      </c>
    </row>
    <row r="52" spans="1:17" x14ac:dyDescent="0.25">
      <c r="A52" s="35" t="s">
        <v>39</v>
      </c>
      <c r="B52" s="36">
        <f ca="1">B50+B51</f>
        <v>18972.73333333333</v>
      </c>
      <c r="E52" s="45"/>
      <c r="F52" s="64">
        <v>1</v>
      </c>
      <c r="G52" s="46">
        <f ca="1">B52*0.15</f>
        <v>2845.9099999999994</v>
      </c>
      <c r="H52" s="46">
        <f ca="1">(L52+B53+B54+M52+N52)*0.15</f>
        <v>4125.4075080000002</v>
      </c>
      <c r="I52" s="46">
        <f ca="1">IF(O52&gt;0, O52,0)+P52+Q52</f>
        <v>2765.6880000000006</v>
      </c>
      <c r="K52" s="21">
        <v>1</v>
      </c>
      <c r="L52" s="38">
        <f>12069+12069</f>
        <v>24138</v>
      </c>
      <c r="M52" s="38">
        <v>1222</v>
      </c>
      <c r="N52" s="21">
        <f ca="1">IF(C17-B52*0.03&gt;0,C17-B52*0.03,0)</f>
        <v>495.21800000000019</v>
      </c>
      <c r="O52" s="21">
        <f>IF((B50-3000)*0.26&lt;2335,(B50-3000)*0.26,2335)-IF(B50-17025&gt;0,B50-17025,0)*0.12</f>
        <v>1117.2880000000002</v>
      </c>
      <c r="P52" s="21">
        <f ca="1">MIN(IF((0.25*L52 - 0.05*(B52-27044))&gt;0,(0.25*L52 - 0.05*(B52-27044)),0),1248)</f>
        <v>1248</v>
      </c>
      <c r="Q52" s="21">
        <f>243+121+(243+121)*0.1</f>
        <v>400.4</v>
      </c>
    </row>
    <row r="53" spans="1:17" x14ac:dyDescent="0.25">
      <c r="A53" s="35" t="s">
        <v>40</v>
      </c>
      <c r="B53" s="36">
        <f>B50*0.0162</f>
        <v>440.19611999999995</v>
      </c>
      <c r="E53" s="45"/>
      <c r="F53" s="64"/>
      <c r="G53" s="46"/>
      <c r="H53" s="46"/>
      <c r="I53" s="38"/>
    </row>
    <row r="54" spans="1:17" x14ac:dyDescent="0.25">
      <c r="A54" s="35" t="s">
        <v>41</v>
      </c>
      <c r="B54" s="36">
        <f>IF(((B50-3500)*0.051)&lt;2748.9,(B50-3500)*0.051,2748.9)</f>
        <v>1207.3025999999998</v>
      </c>
      <c r="C54" s="45"/>
      <c r="E54" s="45"/>
    </row>
    <row r="55" spans="1:17" x14ac:dyDescent="0.25">
      <c r="A55" s="35" t="s">
        <v>42</v>
      </c>
      <c r="B55" s="36">
        <f ca="1">IF(G52-H52&lt;0,-I52,G52-H52)</f>
        <v>-2765.6880000000006</v>
      </c>
      <c r="C55" s="45"/>
      <c r="E55" s="45"/>
      <c r="F55" s="52" t="s">
        <v>99</v>
      </c>
      <c r="I55" s="38"/>
      <c r="K55" s="52" t="s">
        <v>99</v>
      </c>
      <c r="N55" s="21"/>
    </row>
    <row r="56" spans="1:17" x14ac:dyDescent="0.25">
      <c r="A56" s="35" t="s">
        <v>43</v>
      </c>
      <c r="B56" s="36">
        <f ca="1">IF(G57-H57&lt;0,0,G57-H57)-I57</f>
        <v>-200.27266666666665</v>
      </c>
      <c r="C56" s="38"/>
      <c r="E56" s="46"/>
      <c r="F56" s="52" t="s">
        <v>89</v>
      </c>
      <c r="G56" s="52" t="s">
        <v>90</v>
      </c>
      <c r="H56" s="52" t="s">
        <v>91</v>
      </c>
      <c r="I56" s="52" t="s">
        <v>100</v>
      </c>
      <c r="K56" s="52" t="s">
        <v>89</v>
      </c>
      <c r="L56" s="52" t="s">
        <v>123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7" x14ac:dyDescent="0.25">
      <c r="A57" s="35" t="s">
        <v>44</v>
      </c>
      <c r="B57" s="36">
        <f ca="1">B50-SUM(B53:B56)</f>
        <v>28491.061946666665</v>
      </c>
      <c r="E57" s="38"/>
      <c r="F57" s="64">
        <v>1</v>
      </c>
      <c r="G57" s="46">
        <f ca="1">IF(B52&lt;33389,B52*0.108,(B52-33389)*0.1275+(33389*0.108))</f>
        <v>2049.0551999999998</v>
      </c>
      <c r="H57" s="46">
        <f ca="1">(L57+B53+B54+M57+N57+O57)*0.108</f>
        <v>2783.8480377600004</v>
      </c>
      <c r="I57" s="46">
        <f ca="1">P57+Q57</f>
        <v>200.27266666666671</v>
      </c>
      <c r="K57" s="21">
        <v>1</v>
      </c>
      <c r="L57" s="21">
        <f>9626+9134</f>
        <v>18760</v>
      </c>
      <c r="M57" s="38">
        <f>1491.2+120*8</f>
        <v>2451.1999999999998</v>
      </c>
      <c r="N57" s="45">
        <f ca="1">IF(2065*2-B52*0.09&gt;0,2065*2-B52*0.09,0)</f>
        <v>2422.4540000000006</v>
      </c>
      <c r="O57" s="21">
        <f ca="1">IF(C17-B52*0.03&gt;0,C17-B52*0.03,0)</f>
        <v>495.21800000000019</v>
      </c>
      <c r="P57" s="21">
        <f ca="1">IF(195+195-(B52*0.01)&gt;0,195+195-(B52*0.01),0)</f>
        <v>200.27266666666671</v>
      </c>
      <c r="Q57" s="21">
        <f ca="1">700-(IF(C32&gt;700,700,C32))</f>
        <v>0</v>
      </c>
    </row>
    <row r="58" spans="1:17" x14ac:dyDescent="0.25">
      <c r="A58" s="35" t="s">
        <v>45</v>
      </c>
      <c r="B58" s="36">
        <f ca="1">B57/12</f>
        <v>2374.2551622222222</v>
      </c>
      <c r="F58" s="64"/>
      <c r="G58" s="46"/>
      <c r="H58" s="46"/>
      <c r="I58" s="46"/>
    </row>
    <row r="59" spans="1:17" x14ac:dyDescent="0.25">
      <c r="B59" s="38"/>
      <c r="C59" s="38"/>
      <c r="D59" s="38"/>
    </row>
    <row r="60" spans="1:17" x14ac:dyDescent="0.25">
      <c r="B60" s="38"/>
      <c r="C60" s="38"/>
      <c r="D60" s="38"/>
    </row>
    <row r="61" spans="1:17" s="28" customFormat="1" x14ac:dyDescent="0.25">
      <c r="B61" s="28" t="s">
        <v>124</v>
      </c>
      <c r="N61" s="27"/>
    </row>
    <row r="63" spans="1:17" x14ac:dyDescent="0.25">
      <c r="A63" s="21" t="s">
        <v>106</v>
      </c>
      <c r="D63" s="38">
        <f>B50</f>
        <v>27172.6</v>
      </c>
    </row>
    <row r="64" spans="1:17" x14ac:dyDescent="0.25">
      <c r="A64" s="21" t="s">
        <v>107</v>
      </c>
      <c r="D64" s="38">
        <f ca="1">SUM(B53:B56)</f>
        <v>-1318.4619466666677</v>
      </c>
    </row>
    <row r="65" spans="1:9" x14ac:dyDescent="0.25">
      <c r="A65" s="21" t="s">
        <v>108</v>
      </c>
      <c r="D65" s="38">
        <f ca="1">D63-D64</f>
        <v>28491.061946666665</v>
      </c>
    </row>
    <row r="66" spans="1:9" x14ac:dyDescent="0.25">
      <c r="A66" s="21" t="s">
        <v>109</v>
      </c>
      <c r="D66" s="38">
        <f ca="1">C33</f>
        <v>13941.863333333335</v>
      </c>
    </row>
    <row r="67" spans="1:9" x14ac:dyDescent="0.25">
      <c r="A67" s="21" t="s">
        <v>110</v>
      </c>
      <c r="D67" s="38">
        <f ca="1">D65+D66</f>
        <v>42432.925279999996</v>
      </c>
    </row>
    <row r="68" spans="1:9" x14ac:dyDescent="0.25">
      <c r="A68" s="21" t="s">
        <v>111</v>
      </c>
      <c r="D68" s="38">
        <f>C20</f>
        <v>42429.989627733805</v>
      </c>
    </row>
    <row r="69" spans="1:9" x14ac:dyDescent="0.25">
      <c r="A69" s="21" t="s">
        <v>112</v>
      </c>
      <c r="D69" s="38">
        <f ca="1">D67-D68</f>
        <v>2.9356522661910276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56B9-8A78-453A-9464-C17D2D53E5DC}">
  <sheetPr>
    <tabColor rgb="FFFFC000"/>
  </sheetPr>
  <dimension ref="A1:T113"/>
  <sheetViews>
    <sheetView zoomScale="75" zoomScaleNormal="75" workbookViewId="0">
      <selection activeCell="K22" sqref="K22"/>
    </sheetView>
  </sheetViews>
  <sheetFormatPr defaultColWidth="8.5546875" defaultRowHeight="13.2" x14ac:dyDescent="0.25"/>
  <cols>
    <col min="1" max="1" width="16.5546875" style="21" customWidth="1"/>
    <col min="2" max="2" width="9.77734375" style="21" customWidth="1"/>
    <col min="3" max="3" width="9.5546875" style="21" customWidth="1"/>
    <col min="4" max="4" width="9.6640625" style="21" customWidth="1"/>
    <col min="5" max="5" width="10.5546875" style="21" customWidth="1"/>
    <col min="6" max="6" width="11.21875" style="21" customWidth="1"/>
    <col min="7" max="7" width="8.5546875" style="21"/>
    <col min="8" max="8" width="12.44140625" style="21" customWidth="1"/>
    <col min="9" max="9" width="8.44140625" style="21" customWidth="1"/>
    <col min="10" max="10" width="8.5546875" style="21"/>
    <col min="11" max="11" width="30" style="21" customWidth="1"/>
    <col min="12" max="12" width="9.21875" style="21" customWidth="1"/>
    <col min="13" max="13" width="8.5546875" style="21"/>
    <col min="14" max="14" width="15.44140625" style="45" customWidth="1"/>
    <col min="15" max="15" width="8.5546875" style="21"/>
    <col min="16" max="16" width="8" style="21" customWidth="1"/>
    <col min="17" max="17" width="7.44140625" style="21" customWidth="1"/>
    <col min="18" max="16384" width="8.5546875" style="21"/>
  </cols>
  <sheetData>
    <row r="1" spans="1:20" ht="17.399999999999999" x14ac:dyDescent="0.3">
      <c r="A1" s="20" t="s">
        <v>144</v>
      </c>
      <c r="B1" s="20"/>
    </row>
    <row r="2" spans="1:20" s="22" customFormat="1" ht="15" customHeight="1" x14ac:dyDescent="0.3">
      <c r="C2" s="22" t="s">
        <v>126</v>
      </c>
      <c r="D2" s="23"/>
      <c r="E2" s="24"/>
      <c r="N2" s="68"/>
    </row>
    <row r="3" spans="1:20" ht="15.6" x14ac:dyDescent="0.3">
      <c r="A3" s="25"/>
      <c r="C3" s="21" t="s">
        <v>127</v>
      </c>
      <c r="D3" s="23"/>
      <c r="E3" s="24"/>
      <c r="F3" s="22"/>
      <c r="G3" s="22"/>
      <c r="H3" s="22"/>
      <c r="I3" s="22"/>
      <c r="J3" s="22"/>
    </row>
    <row r="4" spans="1:20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20" ht="15.6" x14ac:dyDescent="0.3">
      <c r="B5" s="26" t="s">
        <v>49</v>
      </c>
      <c r="N5" s="27"/>
      <c r="O5" s="28"/>
      <c r="P5" s="28"/>
      <c r="Q5" s="28"/>
    </row>
    <row r="6" spans="1:20" ht="12.75" customHeight="1" x14ac:dyDescent="0.3">
      <c r="C6" s="26"/>
      <c r="J6" s="27"/>
      <c r="O6" s="45"/>
      <c r="R6" s="29"/>
    </row>
    <row r="7" spans="1:20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36418.200000000004</v>
      </c>
      <c r="J7" s="27"/>
      <c r="N7" s="21"/>
    </row>
    <row r="8" spans="1:20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299</v>
      </c>
      <c r="J8" s="38"/>
      <c r="N8" s="21"/>
      <c r="Q8" s="44"/>
    </row>
    <row r="9" spans="1:20" x14ac:dyDescent="0.25">
      <c r="A9" s="205" t="s">
        <v>14</v>
      </c>
      <c r="B9" s="36">
        <f>C9/12</f>
        <v>295.34155069582499</v>
      </c>
      <c r="C9" s="36">
        <f>((11606*(153.6/150.9))/4)*1.2</f>
        <v>3544.0986083499001</v>
      </c>
      <c r="D9" s="40">
        <f>C9/C20</f>
        <v>0.11641570996908514</v>
      </c>
      <c r="E9" s="40">
        <f>C9/B50</f>
        <v>9.731668803921939E-2</v>
      </c>
      <c r="F9" s="41"/>
      <c r="G9" s="38"/>
      <c r="H9" s="42" t="s">
        <v>64</v>
      </c>
      <c r="I9" s="43">
        <f ca="1">I7+I8</f>
        <v>36717.200000000004</v>
      </c>
      <c r="J9" s="27"/>
      <c r="N9" s="21"/>
      <c r="P9" s="29"/>
      <c r="Q9" s="44"/>
      <c r="T9" s="29"/>
    </row>
    <row r="10" spans="1:20" x14ac:dyDescent="0.25">
      <c r="A10" s="205" t="s">
        <v>15</v>
      </c>
      <c r="B10" s="36">
        <f>C10/12</f>
        <v>116.64297112299467</v>
      </c>
      <c r="C10" s="36">
        <f>((2042*(93.7/93.5))/2)*SQRT(1)*1.368</f>
        <v>1399.7156534759361</v>
      </c>
      <c r="D10" s="40">
        <f>C10/C20</f>
        <v>4.5977527592018827E-2</v>
      </c>
      <c r="E10" s="40">
        <f>C10/B50</f>
        <v>3.8434509489099843E-2</v>
      </c>
      <c r="F10" s="41"/>
      <c r="H10" s="45"/>
      <c r="I10" s="45"/>
      <c r="J10" s="38"/>
      <c r="N10" s="21"/>
      <c r="P10" s="29"/>
      <c r="Q10" s="44"/>
      <c r="T10" s="29"/>
    </row>
    <row r="11" spans="1:20" x14ac:dyDescent="0.25">
      <c r="A11" s="205" t="s">
        <v>16</v>
      </c>
      <c r="B11" s="36">
        <f>C11/12</f>
        <v>1033.1426897256276</v>
      </c>
      <c r="C11" s="36">
        <f>(950*12)+(487.63*(163.4/114.2))+(25*12)</f>
        <v>12397.712276707531</v>
      </c>
      <c r="D11" s="40">
        <f>C11/C20</f>
        <v>0.40723711052648504</v>
      </c>
      <c r="E11" s="40">
        <f>C11/B50</f>
        <v>0.34042627797934905</v>
      </c>
      <c r="G11" s="38"/>
      <c r="H11" s="25" t="s">
        <v>67</v>
      </c>
      <c r="I11" s="46">
        <f ca="1">B55+B56</f>
        <v>3903.6011293200013</v>
      </c>
      <c r="J11" s="27"/>
      <c r="N11" s="21"/>
      <c r="P11" s="29"/>
      <c r="Q11" s="44"/>
      <c r="T11" s="29"/>
    </row>
    <row r="12" spans="1:20" x14ac:dyDescent="0.25">
      <c r="A12" s="205" t="s">
        <v>17</v>
      </c>
      <c r="B12" s="36">
        <f>C12/12</f>
        <v>76</v>
      </c>
      <c r="C12" s="36">
        <f>76*12</f>
        <v>912</v>
      </c>
      <c r="D12" s="40">
        <f>C12/C20</f>
        <v>2.9957159555794061E-2</v>
      </c>
      <c r="E12" s="40">
        <f>C12/B50</f>
        <v>2.5042423843023541E-2</v>
      </c>
      <c r="F12" s="41"/>
      <c r="H12" s="46" t="s">
        <v>68</v>
      </c>
      <c r="I12" s="46">
        <f ca="1">C33</f>
        <v>299</v>
      </c>
      <c r="J12" s="29"/>
      <c r="N12" s="21"/>
      <c r="P12" s="29"/>
      <c r="Q12" s="44"/>
      <c r="T12" s="29"/>
    </row>
    <row r="13" spans="1:20" x14ac:dyDescent="0.25">
      <c r="A13" s="205" t="s">
        <v>18</v>
      </c>
      <c r="B13" s="36">
        <f>C13/12</f>
        <v>671.83143272727273</v>
      </c>
      <c r="C13" s="36">
        <f>'2022 1P WPG'!C13*1.368</f>
        <v>8061.9771927272732</v>
      </c>
      <c r="D13" s="40">
        <f>C13/C20</f>
        <v>0.26481791348432415</v>
      </c>
      <c r="E13" s="40">
        <f>C13/B50</f>
        <v>0.22137220380818581</v>
      </c>
      <c r="H13" s="43" t="s">
        <v>70</v>
      </c>
      <c r="I13" s="43">
        <f ca="1">I11-I12</f>
        <v>3604.6011293200013</v>
      </c>
      <c r="J13" s="38"/>
      <c r="K13" s="38"/>
      <c r="L13" s="38"/>
      <c r="P13" s="29"/>
      <c r="Q13" s="44"/>
      <c r="T13" s="29"/>
    </row>
    <row r="14" spans="1:20" s="49" customFormat="1" x14ac:dyDescent="0.25">
      <c r="A14" s="37" t="s">
        <v>19</v>
      </c>
      <c r="B14" s="47">
        <f>SUM(B9:B13)</f>
        <v>2192.95864427172</v>
      </c>
      <c r="C14" s="47">
        <f>SUM(C9:C13)</f>
        <v>26315.50373126064</v>
      </c>
      <c r="D14" s="48">
        <f>C14/C20</f>
        <v>0.86440542112770724</v>
      </c>
      <c r="E14" s="48">
        <f>C14/B50</f>
        <v>0.72259210315887756</v>
      </c>
      <c r="G14" s="43"/>
      <c r="H14" s="46" t="s">
        <v>71</v>
      </c>
      <c r="I14" s="46">
        <f>B53+B54</f>
        <v>2369.4494600000003</v>
      </c>
      <c r="J14" s="43"/>
      <c r="K14" s="43"/>
      <c r="L14" s="43"/>
      <c r="N14" s="45"/>
      <c r="O14" s="50"/>
      <c r="P14" s="29"/>
      <c r="Q14" s="44"/>
      <c r="R14" s="21"/>
      <c r="S14" s="21"/>
      <c r="T14" s="29"/>
    </row>
    <row r="15" spans="1:20" x14ac:dyDescent="0.25">
      <c r="A15" s="205" t="s">
        <v>20</v>
      </c>
      <c r="B15" s="36">
        <f>C15/12</f>
        <v>0</v>
      </c>
      <c r="C15" s="36">
        <f>N11</f>
        <v>0</v>
      </c>
      <c r="D15" s="40">
        <f>C15/C20</f>
        <v>0</v>
      </c>
      <c r="E15" s="40">
        <f>C15/B50</f>
        <v>0</v>
      </c>
      <c r="G15" s="38"/>
      <c r="H15" s="49" t="s">
        <v>72</v>
      </c>
      <c r="I15" s="43">
        <f ca="1">I13+I14</f>
        <v>5974.0505893200016</v>
      </c>
      <c r="J15" s="38"/>
      <c r="K15" s="38"/>
      <c r="L15" s="38"/>
      <c r="P15" s="29"/>
      <c r="Q15" s="44"/>
      <c r="R15" s="49"/>
      <c r="T15" s="29"/>
    </row>
    <row r="16" spans="1:20" x14ac:dyDescent="0.25">
      <c r="A16" s="20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L16" s="38"/>
      <c r="P16" s="29"/>
      <c r="Q16" s="44"/>
      <c r="T16" s="29"/>
    </row>
    <row r="17" spans="1:20" x14ac:dyDescent="0.25">
      <c r="A17" s="205" t="s">
        <v>22</v>
      </c>
      <c r="B17" s="36">
        <f>C17/12</f>
        <v>68.25</v>
      </c>
      <c r="C17" s="36">
        <f>(68.25)*12</f>
        <v>819</v>
      </c>
      <c r="D17" s="40">
        <f>C17/C20</f>
        <v>2.6902317627407166E-2</v>
      </c>
      <c r="E17" s="40">
        <f>C17/B50</f>
        <v>2.2488755622188904E-2</v>
      </c>
      <c r="G17" s="38"/>
      <c r="H17" s="38"/>
      <c r="I17" s="38"/>
      <c r="J17" s="38"/>
      <c r="K17" s="38"/>
      <c r="L17" s="38"/>
      <c r="P17" s="29"/>
      <c r="Q17" s="44"/>
      <c r="T17" s="29"/>
    </row>
    <row r="18" spans="1:20" x14ac:dyDescent="0.25">
      <c r="A18" s="205" t="s">
        <v>23</v>
      </c>
      <c r="B18" s="36">
        <f>C18/12</f>
        <v>159.02250000000001</v>
      </c>
      <c r="C18" s="36">
        <v>1908.27</v>
      </c>
      <c r="D18" s="40">
        <f>C18/C20</f>
        <v>6.2682400071858699E-2</v>
      </c>
      <c r="E18" s="40">
        <f>C18/B50</f>
        <v>5.2398800599700146E-2</v>
      </c>
      <c r="G18" s="38"/>
      <c r="H18" s="38"/>
      <c r="I18" s="38"/>
      <c r="J18" s="38"/>
      <c r="K18" s="38"/>
      <c r="L18" s="38"/>
      <c r="P18" s="29"/>
      <c r="Q18" s="44"/>
      <c r="T18" s="29"/>
    </row>
    <row r="19" spans="1:20" x14ac:dyDescent="0.25">
      <c r="A19" s="35" t="s">
        <v>24</v>
      </c>
      <c r="B19" s="36">
        <f>C19/12</f>
        <v>116.72500000000001</v>
      </c>
      <c r="C19" s="36">
        <f>B47*B48*2</f>
        <v>1400.7</v>
      </c>
      <c r="D19" s="40">
        <f>C19/C20</f>
        <v>4.6009861173027133E-2</v>
      </c>
      <c r="E19" s="40">
        <f>C19/B50</f>
        <v>3.8461538461538457E-2</v>
      </c>
      <c r="G19" s="38"/>
      <c r="H19" s="38"/>
      <c r="I19" s="38"/>
      <c r="J19" s="38"/>
      <c r="K19" s="38"/>
      <c r="L19" s="38"/>
      <c r="P19" s="29"/>
      <c r="Q19" s="44"/>
      <c r="T19" s="29"/>
    </row>
    <row r="20" spans="1:20" x14ac:dyDescent="0.25">
      <c r="A20" s="35" t="s">
        <v>25</v>
      </c>
      <c r="B20" s="36">
        <f>SUM(B9:B19)-B14</f>
        <v>2536.9561442717204</v>
      </c>
      <c r="C20" s="36">
        <f>SUM(C9:C19)-C14</f>
        <v>30443.473731260634</v>
      </c>
      <c r="D20" s="40">
        <f>C20/C20</f>
        <v>1</v>
      </c>
      <c r="E20" s="40">
        <f>SUM(E9:E18)-E14</f>
        <v>0.79747965938076648</v>
      </c>
      <c r="G20" s="38"/>
      <c r="H20" s="38"/>
      <c r="I20" s="29"/>
      <c r="J20" s="38"/>
      <c r="K20" s="38"/>
      <c r="L20" s="38"/>
      <c r="P20" s="29"/>
      <c r="Q20" s="44"/>
      <c r="T20" s="29"/>
    </row>
    <row r="21" spans="1:20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L21" s="38"/>
      <c r="P21" s="29"/>
      <c r="Q21" s="44"/>
      <c r="T21" s="29"/>
    </row>
    <row r="22" spans="1:20" x14ac:dyDescent="0.25">
      <c r="B22" s="38"/>
      <c r="C22" s="38"/>
      <c r="P22" s="29"/>
      <c r="Q22" s="44"/>
      <c r="T22" s="29"/>
    </row>
    <row r="23" spans="1:20" ht="15.6" x14ac:dyDescent="0.3">
      <c r="B23" s="26" t="s">
        <v>73</v>
      </c>
      <c r="P23" s="29"/>
      <c r="Q23" s="44"/>
      <c r="T23" s="29"/>
    </row>
    <row r="24" spans="1:20" ht="12.75" customHeight="1" x14ac:dyDescent="0.3">
      <c r="C24" s="26"/>
      <c r="P24" s="29"/>
      <c r="Q24" s="44"/>
      <c r="T24" s="29"/>
    </row>
    <row r="25" spans="1:20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P25" s="29"/>
      <c r="Q25" s="44"/>
    </row>
    <row r="26" spans="1:20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L26" s="25"/>
      <c r="P26" s="29"/>
      <c r="Q26" s="44"/>
    </row>
    <row r="27" spans="1:20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L27" s="25"/>
      <c r="P27" s="29"/>
      <c r="Q27" s="44"/>
    </row>
    <row r="28" spans="1:20" x14ac:dyDescent="0.25">
      <c r="A28" s="206" t="s">
        <v>27</v>
      </c>
      <c r="B28" s="57">
        <f>C28/12</f>
        <v>0</v>
      </c>
      <c r="C28" s="36">
        <f>MAX(0,E28)</f>
        <v>0</v>
      </c>
      <c r="E28" s="58"/>
      <c r="F28" s="59"/>
      <c r="G28" s="59"/>
      <c r="H28" s="60"/>
      <c r="K28" s="25"/>
      <c r="L28" s="25"/>
      <c r="P28" s="29"/>
      <c r="Q28" s="44"/>
    </row>
    <row r="29" spans="1:20" x14ac:dyDescent="0.25">
      <c r="A29" s="206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P29" s="29"/>
      <c r="Q29" s="44"/>
    </row>
    <row r="30" spans="1:20" x14ac:dyDescent="0.25">
      <c r="A30" s="206" t="s">
        <v>28</v>
      </c>
      <c r="B30" s="36">
        <f ca="1">(C30)/12</f>
        <v>24.916666666666668</v>
      </c>
      <c r="C30" s="36">
        <f ca="1">G30</f>
        <v>299</v>
      </c>
      <c r="D30" s="25"/>
      <c r="E30" s="46">
        <f>299</f>
        <v>299</v>
      </c>
      <c r="F30" s="25">
        <f ca="1">IF((B52-38892)*0.05&gt;0,(B52-38892)*0.05,0)</f>
        <v>0</v>
      </c>
      <c r="G30" s="46">
        <f ca="1">IF(E30&gt;F30,E30-F30,0)</f>
        <v>299</v>
      </c>
      <c r="H30" s="38"/>
      <c r="I30" s="38"/>
      <c r="K30" s="25"/>
      <c r="L30" s="25"/>
      <c r="P30" s="29"/>
    </row>
    <row r="31" spans="1:20" x14ac:dyDescent="0.25">
      <c r="A31" s="206" t="s">
        <v>29</v>
      </c>
      <c r="B31" s="36">
        <f ca="1">C31/12</f>
        <v>0</v>
      </c>
      <c r="C31" s="36">
        <f ca="1">IF(C15&gt;F34,C15-F34,0)</f>
        <v>0</v>
      </c>
      <c r="D31" s="46"/>
      <c r="E31" s="21" t="s">
        <v>137</v>
      </c>
      <c r="H31" s="38"/>
      <c r="J31" s="38"/>
      <c r="K31" s="25"/>
      <c r="L31" s="25"/>
    </row>
    <row r="32" spans="1:20" x14ac:dyDescent="0.25">
      <c r="A32" s="206" t="s">
        <v>82</v>
      </c>
      <c r="B32" s="36">
        <f ca="1">E32</f>
        <v>0</v>
      </c>
      <c r="C32" s="36">
        <f ca="1">E32*12</f>
        <v>0</v>
      </c>
      <c r="D32" s="46"/>
      <c r="E32" s="46">
        <f ca="1">IF(B52&lt;24640,(0.8*792-B52*0.3/12),0)</f>
        <v>0</v>
      </c>
      <c r="H32" s="38"/>
      <c r="J32" s="38"/>
      <c r="K32" s="25"/>
      <c r="L32" s="25"/>
    </row>
    <row r="33" spans="1:16" x14ac:dyDescent="0.25">
      <c r="A33" s="35" t="s">
        <v>25</v>
      </c>
      <c r="B33" s="36">
        <f ca="1">SUM(B26:B32)</f>
        <v>24.916666666666668</v>
      </c>
      <c r="C33" s="36">
        <f ca="1">SUM(C26:C32)</f>
        <v>299</v>
      </c>
      <c r="E33" s="52" t="s">
        <v>83</v>
      </c>
      <c r="F33" s="52" t="s">
        <v>84</v>
      </c>
      <c r="G33" s="52"/>
      <c r="H33" s="38"/>
      <c r="I33" s="38"/>
      <c r="N33" s="27"/>
      <c r="O33" s="28"/>
      <c r="P33" s="61"/>
    </row>
    <row r="34" spans="1:16" x14ac:dyDescent="0.25">
      <c r="B34" s="38"/>
      <c r="C34" s="38"/>
      <c r="E34" s="21">
        <f>17520</f>
        <v>17520</v>
      </c>
      <c r="F34" s="38">
        <f ca="1">IF(IF((B52-E34+7766)&lt;0,(B52-E34)*0.25,(B52-E34+7766)*0.5+1942)&gt;0,IF((B52-E34+7766)&lt;0,(B52-E34)*0.25,(B52-E34+7766)*0.5+1942),P8+N9)</f>
        <v>14270.350000000002</v>
      </c>
      <c r="H34" s="38"/>
      <c r="I34" s="38"/>
    </row>
    <row r="35" spans="1:16" x14ac:dyDescent="0.25">
      <c r="B35" s="38"/>
      <c r="C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6" x14ac:dyDescent="0.25">
      <c r="A39" s="35" t="s">
        <v>31</v>
      </c>
      <c r="B39" s="36"/>
      <c r="C39" s="36">
        <f ca="1">C33+B57</f>
        <v>30444.149410680002</v>
      </c>
      <c r="E39" s="52"/>
      <c r="F39" s="52"/>
      <c r="G39" s="52"/>
      <c r="H39" s="53"/>
      <c r="I39" s="53"/>
    </row>
    <row r="40" spans="1:16" x14ac:dyDescent="0.25">
      <c r="A40" s="35" t="s">
        <v>120</v>
      </c>
      <c r="B40" s="36"/>
      <c r="C40" s="36">
        <f>C20</f>
        <v>30443.473731260634</v>
      </c>
      <c r="E40" s="52"/>
      <c r="F40" s="52"/>
      <c r="G40" s="52"/>
      <c r="H40" s="70"/>
      <c r="I40" s="53"/>
    </row>
    <row r="41" spans="1:16" x14ac:dyDescent="0.25">
      <c r="A41" s="35" t="s">
        <v>33</v>
      </c>
      <c r="B41" s="36"/>
      <c r="C41" s="36">
        <f ca="1">C39-C40</f>
        <v>0.67567941936795251</v>
      </c>
      <c r="E41" s="38"/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A44" s="63" t="s">
        <v>121</v>
      </c>
    </row>
    <row r="45" spans="1:16" x14ac:dyDescent="0.25">
      <c r="B45" s="27"/>
    </row>
    <row r="46" spans="1:16" s="45" customFormat="1" x14ac:dyDescent="0.25">
      <c r="A46" s="31"/>
      <c r="B46" s="71" t="s">
        <v>128</v>
      </c>
      <c r="C46" s="27"/>
      <c r="D46" s="27"/>
    </row>
    <row r="47" spans="1:16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6" x14ac:dyDescent="0.25">
      <c r="A48" s="35" t="s">
        <v>36</v>
      </c>
      <c r="B48" s="72">
        <v>20.010000000000002</v>
      </c>
      <c r="E48" s="45"/>
      <c r="F48" s="45"/>
      <c r="G48" s="45"/>
      <c r="H48" s="45"/>
      <c r="I48" s="45"/>
    </row>
    <row r="49" spans="1:20" ht="3.75" customHeight="1" x14ac:dyDescent="0.25">
      <c r="A49" s="30"/>
      <c r="B49" s="30"/>
      <c r="E49" s="45"/>
      <c r="F49" s="45"/>
      <c r="G49" s="45"/>
      <c r="H49" s="45"/>
      <c r="I49" s="45"/>
    </row>
    <row r="50" spans="1:20" x14ac:dyDescent="0.25">
      <c r="A50" s="35" t="s">
        <v>122</v>
      </c>
      <c r="B50" s="36">
        <f>B48*B47*52</f>
        <v>36418.200000000004</v>
      </c>
      <c r="E50" s="45"/>
      <c r="F50" s="52" t="s">
        <v>88</v>
      </c>
      <c r="I50" s="38"/>
      <c r="K50" s="21" t="s">
        <v>146</v>
      </c>
      <c r="M50" s="52" t="s">
        <v>88</v>
      </c>
      <c r="N50" s="21"/>
    </row>
    <row r="51" spans="1:20" x14ac:dyDescent="0.25">
      <c r="A51" s="35" t="s">
        <v>38</v>
      </c>
      <c r="B51" s="36">
        <f ca="1">-C15+C31-K51</f>
        <v>-2007.5</v>
      </c>
      <c r="E51" s="45"/>
      <c r="F51" s="52" t="s">
        <v>129</v>
      </c>
      <c r="G51" s="52" t="s">
        <v>90</v>
      </c>
      <c r="H51" s="52" t="s">
        <v>91</v>
      </c>
      <c r="I51" s="52" t="s">
        <v>92</v>
      </c>
      <c r="K51" s="21">
        <f>5.5*365</f>
        <v>2007.5</v>
      </c>
      <c r="M51" s="52" t="s">
        <v>129</v>
      </c>
      <c r="N51" s="52" t="s">
        <v>148</v>
      </c>
      <c r="O51" s="52" t="s">
        <v>94</v>
      </c>
      <c r="P51" s="52" t="s">
        <v>95</v>
      </c>
      <c r="Q51" s="52" t="s">
        <v>96</v>
      </c>
      <c r="R51" s="52" t="s">
        <v>97</v>
      </c>
      <c r="S51" s="52" t="s">
        <v>98</v>
      </c>
      <c r="T51" s="49" t="s">
        <v>163</v>
      </c>
    </row>
    <row r="52" spans="1:20" x14ac:dyDescent="0.25">
      <c r="A52" s="35" t="s">
        <v>39</v>
      </c>
      <c r="B52" s="36">
        <f ca="1">B50+B51</f>
        <v>34410.700000000004</v>
      </c>
      <c r="E52" s="45"/>
      <c r="F52" s="64">
        <v>1</v>
      </c>
      <c r="G52" s="46">
        <f ca="1">B52*0.15</f>
        <v>5161.6050000000005</v>
      </c>
      <c r="H52" s="46">
        <f ca="1">(N52+B53+B54+O52+P52+T52)*0.15</f>
        <v>2856.4079189999998</v>
      </c>
      <c r="I52" s="46">
        <f ca="1">IF(Q52&gt;0, Q52,0)+R52+S52</f>
        <v>1681</v>
      </c>
      <c r="M52" s="21">
        <v>1</v>
      </c>
      <c r="N52" s="38">
        <v>13808</v>
      </c>
      <c r="O52" s="38">
        <v>1257</v>
      </c>
      <c r="P52" s="21">
        <f ca="1">IF(C17-B52*0.03&gt;0,C17-B52*0.03,0)</f>
        <v>0</v>
      </c>
      <c r="Q52" s="21">
        <f>MAX(IF((B50-3000)*0.27&lt;1395,(B50-3000)*0.27,1395)-IF(B50-22944&gt;0,B50-22944,0)*0.15,0)</f>
        <v>0</v>
      </c>
      <c r="R52" s="21">
        <f ca="1">MIN(IF((0.25*N52 - 0.05*(B52-28446))&gt;0,(0.25*N52 - 0.05*(B52-28446)),0),1285)</f>
        <v>1285</v>
      </c>
      <c r="S52" s="21">
        <f>360+360*0.1</f>
        <v>396</v>
      </c>
      <c r="T52" s="21">
        <v>1608.27</v>
      </c>
    </row>
    <row r="53" spans="1:20" x14ac:dyDescent="0.25">
      <c r="A53" s="206" t="s">
        <v>40</v>
      </c>
      <c r="B53" s="36">
        <f>IF(B50*0.0158&lt;889.54,B50*0.0158,889.54)</f>
        <v>575.4075600000001</v>
      </c>
      <c r="E53" s="45"/>
      <c r="F53" s="64"/>
      <c r="G53" s="46"/>
      <c r="H53" s="46"/>
      <c r="I53" s="38"/>
    </row>
    <row r="54" spans="1:20" x14ac:dyDescent="0.25">
      <c r="A54" s="206" t="s">
        <v>41</v>
      </c>
      <c r="B54" s="36">
        <f>IF(((B50-3500)*0.0545)&lt;3166.45,(B50-3500)*0.0545,3166.45)</f>
        <v>1794.0419000000002</v>
      </c>
      <c r="C54" s="45"/>
      <c r="E54" s="45"/>
    </row>
    <row r="55" spans="1:20" x14ac:dyDescent="0.25">
      <c r="A55" s="206" t="s">
        <v>42</v>
      </c>
      <c r="B55" s="36">
        <f ca="1">IF(G52-H52&lt;0,-I52,G52-H52)</f>
        <v>2305.1970810000007</v>
      </c>
      <c r="C55" s="45"/>
      <c r="E55" s="45"/>
      <c r="F55" s="52" t="s">
        <v>99</v>
      </c>
      <c r="I55" s="38"/>
      <c r="K55" s="52" t="s">
        <v>99</v>
      </c>
      <c r="N55" s="21"/>
    </row>
    <row r="56" spans="1:20" x14ac:dyDescent="0.25">
      <c r="A56" s="206" t="s">
        <v>43</v>
      </c>
      <c r="B56" s="36">
        <f ca="1">IF(G57-H57&lt;0,0,G57-H57)-I57</f>
        <v>1598.4040483200006</v>
      </c>
      <c r="C56" s="38"/>
      <c r="E56" s="46"/>
      <c r="F56" s="52" t="s">
        <v>129</v>
      </c>
      <c r="G56" s="52" t="s">
        <v>90</v>
      </c>
      <c r="H56" s="52" t="s">
        <v>91</v>
      </c>
      <c r="I56" s="52" t="s">
        <v>100</v>
      </c>
      <c r="K56" s="52" t="s">
        <v>129</v>
      </c>
      <c r="L56" s="52" t="s">
        <v>130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20" x14ac:dyDescent="0.25">
      <c r="A57" s="35" t="s">
        <v>44</v>
      </c>
      <c r="B57" s="36">
        <f ca="1">B50-SUM(B53:B56)</f>
        <v>30145.149410680002</v>
      </c>
      <c r="E57" s="38"/>
      <c r="F57" s="64">
        <v>1</v>
      </c>
      <c r="G57" s="46">
        <f ca="1">IF(B52&lt;33723,B52*0.108,(B52-33723)*0.1275+(33723*0.108))</f>
        <v>3729.7657500000005</v>
      </c>
      <c r="H57" s="46">
        <f ca="1">(L57+B53+B54+M57+N57+O57)*0.108</f>
        <v>1606.3617016799999</v>
      </c>
      <c r="I57" s="46">
        <f ca="1">P57+Q57</f>
        <v>525</v>
      </c>
      <c r="K57" s="21">
        <v>1</v>
      </c>
      <c r="L57" s="21">
        <v>9936</v>
      </c>
      <c r="M57" s="38">
        <f>1608.27+120*8</f>
        <v>2568.27</v>
      </c>
      <c r="N57" s="45">
        <v>0</v>
      </c>
      <c r="O57" s="21">
        <f ca="1">IF(C17-B52*0.03&gt;0,C17-B52*0.03,0)</f>
        <v>0</v>
      </c>
      <c r="P57" s="21">
        <f ca="1">IF(195-(B52*0.01)&gt;0,195-(B52*0.01),0)</f>
        <v>0</v>
      </c>
      <c r="Q57" s="21">
        <f ca="1">525-(IF(C32&gt;525,525,C32))</f>
        <v>525</v>
      </c>
    </row>
    <row r="58" spans="1:20" x14ac:dyDescent="0.25">
      <c r="A58" s="35" t="s">
        <v>45</v>
      </c>
      <c r="B58" s="36">
        <f ca="1">B57/12</f>
        <v>2512.0957842233333</v>
      </c>
      <c r="F58" s="64"/>
      <c r="G58" s="46"/>
      <c r="H58" s="46"/>
      <c r="I58" s="46"/>
    </row>
    <row r="59" spans="1:20" x14ac:dyDescent="0.25">
      <c r="B59" s="38"/>
      <c r="C59" s="38"/>
      <c r="D59" s="38"/>
    </row>
    <row r="60" spans="1:20" x14ac:dyDescent="0.25">
      <c r="B60" s="38"/>
      <c r="C60" s="38"/>
      <c r="D60" s="38"/>
    </row>
    <row r="61" spans="1:20" s="28" customFormat="1" x14ac:dyDescent="0.25">
      <c r="B61" s="28" t="s">
        <v>124</v>
      </c>
      <c r="N61" s="27"/>
    </row>
    <row r="63" spans="1:20" x14ac:dyDescent="0.25">
      <c r="A63" s="21" t="s">
        <v>106</v>
      </c>
      <c r="D63" s="38">
        <f>B50</f>
        <v>36418.200000000004</v>
      </c>
    </row>
    <row r="64" spans="1:20" x14ac:dyDescent="0.25">
      <c r="A64" s="21" t="s">
        <v>107</v>
      </c>
      <c r="D64" s="38">
        <f ca="1">SUM(B53:B56)</f>
        <v>6273.0505893200016</v>
      </c>
    </row>
    <row r="65" spans="1:9" x14ac:dyDescent="0.25">
      <c r="A65" s="21" t="s">
        <v>108</v>
      </c>
      <c r="D65" s="38">
        <f ca="1">D63-D64</f>
        <v>30145.149410680002</v>
      </c>
    </row>
    <row r="66" spans="1:9" x14ac:dyDescent="0.25">
      <c r="A66" s="21" t="s">
        <v>109</v>
      </c>
      <c r="D66" s="38">
        <f ca="1">C33</f>
        <v>299</v>
      </c>
    </row>
    <row r="67" spans="1:9" x14ac:dyDescent="0.25">
      <c r="A67" s="21" t="s">
        <v>110</v>
      </c>
      <c r="D67" s="38">
        <f ca="1">D65+D66</f>
        <v>30444.149410680002</v>
      </c>
    </row>
    <row r="68" spans="1:9" x14ac:dyDescent="0.25">
      <c r="A68" s="21" t="s">
        <v>111</v>
      </c>
      <c r="D68" s="38">
        <f>C20</f>
        <v>30443.473731260634</v>
      </c>
    </row>
    <row r="69" spans="1:9" x14ac:dyDescent="0.25">
      <c r="A69" s="21" t="s">
        <v>112</v>
      </c>
      <c r="D69" s="38">
        <f ca="1">D67-D68</f>
        <v>0.67567941936795251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C2A7-D5B4-4570-9CBD-3140FE70E38B}">
  <dimension ref="A1:T113"/>
  <sheetViews>
    <sheetView workbookViewId="0">
      <selection activeCell="C17" sqref="C17"/>
    </sheetView>
  </sheetViews>
  <sheetFormatPr defaultColWidth="8.6640625" defaultRowHeight="13.2" x14ac:dyDescent="0.25"/>
  <cols>
    <col min="1" max="1" width="16.6640625" style="21" customWidth="1"/>
    <col min="2" max="2" width="9.77734375" style="21" customWidth="1"/>
    <col min="3" max="3" width="9.6640625" style="21" customWidth="1"/>
    <col min="4" max="4" width="8.6640625" style="21"/>
    <col min="5" max="5" width="10.6640625" style="21" customWidth="1"/>
    <col min="6" max="6" width="11.109375" style="21" customWidth="1"/>
    <col min="7" max="7" width="8.6640625" style="21"/>
    <col min="8" max="8" width="12.33203125" style="21" customWidth="1"/>
    <col min="9" max="9" width="8.44140625" style="21" customWidth="1"/>
    <col min="10" max="10" width="8.6640625" style="21"/>
    <col min="11" max="11" width="30" style="21" customWidth="1"/>
    <col min="12" max="12" width="9.109375" style="21" customWidth="1"/>
    <col min="13" max="13" width="8.6640625" style="21"/>
    <col min="14" max="14" width="15.44140625" style="45" customWidth="1"/>
    <col min="15" max="15" width="8.6640625" style="21"/>
    <col min="16" max="16" width="8" style="21" customWidth="1"/>
    <col min="17" max="17" width="7.44140625" style="21" customWidth="1"/>
    <col min="18" max="16384" width="8.6640625" style="21"/>
  </cols>
  <sheetData>
    <row r="1" spans="1:20" ht="17.399999999999999" x14ac:dyDescent="0.3">
      <c r="A1" s="20" t="s">
        <v>147</v>
      </c>
      <c r="B1" s="20"/>
    </row>
    <row r="2" spans="1:20" s="22" customFormat="1" ht="15" customHeight="1" x14ac:dyDescent="0.3">
      <c r="C2" s="22" t="s">
        <v>126</v>
      </c>
      <c r="D2" s="23"/>
      <c r="E2" s="24"/>
      <c r="N2" s="68"/>
    </row>
    <row r="3" spans="1:20" ht="15.6" x14ac:dyDescent="0.3">
      <c r="A3" s="25"/>
      <c r="C3" s="21" t="s">
        <v>164</v>
      </c>
      <c r="D3" s="23"/>
      <c r="E3" s="24"/>
      <c r="F3" s="22"/>
      <c r="G3" s="22"/>
      <c r="H3" s="22"/>
      <c r="I3" s="22"/>
      <c r="J3" s="22"/>
    </row>
    <row r="4" spans="1:20" ht="12.75" customHeight="1" x14ac:dyDescent="0.3">
      <c r="A4" s="22"/>
      <c r="C4" s="22"/>
      <c r="D4" s="23"/>
      <c r="E4" s="24"/>
      <c r="F4" s="22"/>
      <c r="G4" s="22"/>
      <c r="H4" s="22"/>
      <c r="I4" s="22"/>
      <c r="J4" s="22"/>
    </row>
    <row r="5" spans="1:20" ht="15.6" x14ac:dyDescent="0.3">
      <c r="B5" s="26" t="s">
        <v>49</v>
      </c>
      <c r="N5" s="27"/>
      <c r="O5" s="28"/>
      <c r="P5" s="28"/>
      <c r="Q5" s="28"/>
    </row>
    <row r="6" spans="1:20" ht="12.75" customHeight="1" x14ac:dyDescent="0.3">
      <c r="C6" s="26"/>
      <c r="J6" s="27"/>
      <c r="O6" s="45"/>
      <c r="R6" s="29"/>
    </row>
    <row r="7" spans="1:20" x14ac:dyDescent="0.25">
      <c r="A7" s="30" t="s">
        <v>11</v>
      </c>
      <c r="B7" s="31" t="s">
        <v>50</v>
      </c>
      <c r="C7" s="31" t="s">
        <v>12</v>
      </c>
      <c r="D7" s="32" t="s">
        <v>51</v>
      </c>
      <c r="E7" s="32" t="s">
        <v>52</v>
      </c>
      <c r="F7" s="27"/>
      <c r="G7" s="27"/>
      <c r="H7" s="33" t="s">
        <v>53</v>
      </c>
      <c r="I7" s="34">
        <f>B50</f>
        <v>34325.200000000004</v>
      </c>
      <c r="J7" s="27"/>
      <c r="N7" s="21"/>
    </row>
    <row r="8" spans="1:20" x14ac:dyDescent="0.25">
      <c r="A8" s="35" t="s">
        <v>13</v>
      </c>
      <c r="B8" s="36"/>
      <c r="C8" s="36"/>
      <c r="D8" s="37" t="s">
        <v>60</v>
      </c>
      <c r="E8" s="32" t="s">
        <v>61</v>
      </c>
      <c r="G8" s="38"/>
      <c r="H8" s="39" t="s">
        <v>62</v>
      </c>
      <c r="I8" s="34">
        <f ca="1">C33</f>
        <v>290</v>
      </c>
      <c r="J8" s="38"/>
      <c r="N8" s="21"/>
      <c r="Q8" s="44"/>
    </row>
    <row r="9" spans="1:20" x14ac:dyDescent="0.25">
      <c r="A9" s="35" t="s">
        <v>14</v>
      </c>
      <c r="B9" s="36">
        <f>C9/12</f>
        <v>282.59457579972178</v>
      </c>
      <c r="C9" s="36">
        <f>((10983*(148/143.8))/4)*1.2</f>
        <v>3391.1349095966611</v>
      </c>
      <c r="D9" s="40">
        <f>C9/C20</f>
        <v>0.11821714852472344</v>
      </c>
      <c r="E9" s="40">
        <f>C9/B50</f>
        <v>9.8794323400786033E-2</v>
      </c>
      <c r="F9" s="41"/>
      <c r="G9" s="38"/>
      <c r="H9" s="42" t="s">
        <v>64</v>
      </c>
      <c r="I9" s="43">
        <f ca="1">I7+I8</f>
        <v>34615.200000000004</v>
      </c>
      <c r="J9" s="27"/>
      <c r="N9" s="21"/>
      <c r="P9" s="29"/>
      <c r="Q9" s="44"/>
      <c r="T9" s="29"/>
    </row>
    <row r="10" spans="1:20" x14ac:dyDescent="0.25">
      <c r="A10" s="35" t="s">
        <v>15</v>
      </c>
      <c r="B10" s="36">
        <f>C10/12</f>
        <v>118.75922566844923</v>
      </c>
      <c r="C10" s="36">
        <f>((2042*(95.4/93.5))/2)*SQRT(1)*1.368</f>
        <v>1425.1107080213908</v>
      </c>
      <c r="D10" s="40">
        <f>C10/C20</f>
        <v>4.9680277761163009E-2</v>
      </c>
      <c r="E10" s="40">
        <f>C10/B50</f>
        <v>4.1517914186119546E-2</v>
      </c>
      <c r="F10" s="41"/>
      <c r="H10" s="45"/>
      <c r="I10" s="45"/>
      <c r="J10" s="38"/>
      <c r="N10" s="21"/>
      <c r="P10" s="29"/>
      <c r="Q10" s="44"/>
      <c r="T10" s="29"/>
    </row>
    <row r="11" spans="1:20" x14ac:dyDescent="0.25">
      <c r="A11" s="35" t="s">
        <v>16</v>
      </c>
      <c r="B11" s="36">
        <f>C11/12</f>
        <v>992.79678852889663</v>
      </c>
      <c r="C11" s="36">
        <f>(910*12)+(487.63*(158.1/114.2))+(26.54*12)</f>
        <v>11913.561462346759</v>
      </c>
      <c r="D11" s="40">
        <f>C11/C20</f>
        <v>0.4153144308317066</v>
      </c>
      <c r="E11" s="40">
        <f>C11/B50</f>
        <v>0.34707915648988957</v>
      </c>
      <c r="G11" s="38"/>
      <c r="H11" s="25" t="s">
        <v>67</v>
      </c>
      <c r="I11" s="46">
        <f ca="1">B55+B56</f>
        <v>3790.9154124800011</v>
      </c>
      <c r="J11" s="27"/>
      <c r="N11" s="21"/>
      <c r="P11" s="29"/>
      <c r="Q11" s="44"/>
      <c r="T11" s="29"/>
    </row>
    <row r="12" spans="1:20" x14ac:dyDescent="0.25">
      <c r="A12" s="35" t="s">
        <v>17</v>
      </c>
      <c r="B12" s="36">
        <f>C12/12</f>
        <v>76</v>
      </c>
      <c r="C12" s="36">
        <f>12*76</f>
        <v>912</v>
      </c>
      <c r="D12" s="40">
        <f>C12/C20</f>
        <v>3.1792907781239256E-2</v>
      </c>
      <c r="E12" s="40">
        <f>C12/B50</f>
        <v>2.6569400906622537E-2</v>
      </c>
      <c r="F12" s="41"/>
      <c r="H12" s="46" t="s">
        <v>68</v>
      </c>
      <c r="I12" s="46">
        <f ca="1">C33</f>
        <v>290</v>
      </c>
      <c r="J12" s="29"/>
      <c r="N12" s="21"/>
      <c r="P12" s="29"/>
      <c r="Q12" s="44"/>
      <c r="T12" s="29"/>
    </row>
    <row r="13" spans="1:20" x14ac:dyDescent="0.25">
      <c r="A13" s="35" t="s">
        <v>18</v>
      </c>
      <c r="B13" s="36">
        <f>C13/12</f>
        <v>592.78632000000005</v>
      </c>
      <c r="C13" s="36">
        <f>5199.88*1.368</f>
        <v>7113.435840000001</v>
      </c>
      <c r="D13" s="40">
        <f>C13/C20</f>
        <v>0.24797895797026562</v>
      </c>
      <c r="E13" s="40">
        <f>C13/B50</f>
        <v>0.20723654457949262</v>
      </c>
      <c r="H13" s="43" t="s">
        <v>70</v>
      </c>
      <c r="I13" s="43">
        <f ca="1">I11-I12</f>
        <v>3500.9154124800011</v>
      </c>
      <c r="J13" s="38"/>
      <c r="K13" s="38"/>
      <c r="L13" s="38"/>
      <c r="P13" s="29"/>
      <c r="Q13" s="44"/>
      <c r="T13" s="29"/>
    </row>
    <row r="14" spans="1:20" s="49" customFormat="1" x14ac:dyDescent="0.25">
      <c r="A14" s="37" t="s">
        <v>19</v>
      </c>
      <c r="B14" s="47">
        <f>SUM(B9:B13)</f>
        <v>2062.9369099970677</v>
      </c>
      <c r="C14" s="47">
        <f>SUM(C9:C13)</f>
        <v>24755.242919964814</v>
      </c>
      <c r="D14" s="48">
        <f>C14/C20</f>
        <v>0.86298372286909808</v>
      </c>
      <c r="E14" s="48">
        <f>C14/B50</f>
        <v>0.72119733956291032</v>
      </c>
      <c r="G14" s="43"/>
      <c r="H14" s="46" t="s">
        <v>71</v>
      </c>
      <c r="I14" s="46">
        <f>B53+B54</f>
        <v>2128.15344</v>
      </c>
      <c r="J14" s="43"/>
      <c r="K14" s="43"/>
      <c r="L14" s="43"/>
      <c r="N14" s="45"/>
      <c r="O14" s="50"/>
      <c r="P14" s="29"/>
      <c r="Q14" s="44"/>
      <c r="R14" s="21"/>
      <c r="S14" s="21"/>
      <c r="T14" s="29"/>
    </row>
    <row r="15" spans="1:20" x14ac:dyDescent="0.25">
      <c r="A15" s="35" t="s">
        <v>20</v>
      </c>
      <c r="B15" s="36">
        <f>C15/12</f>
        <v>0</v>
      </c>
      <c r="C15" s="36">
        <f>N11</f>
        <v>0</v>
      </c>
      <c r="D15" s="40">
        <f>C15/C20</f>
        <v>0</v>
      </c>
      <c r="E15" s="40">
        <f>C15/B50</f>
        <v>0</v>
      </c>
      <c r="G15" s="38"/>
      <c r="H15" s="49" t="s">
        <v>72</v>
      </c>
      <c r="I15" s="43">
        <f ca="1">I13+I14</f>
        <v>5629.0688524800007</v>
      </c>
      <c r="J15" s="38"/>
      <c r="K15" s="38"/>
      <c r="L15" s="38"/>
      <c r="P15" s="29"/>
      <c r="Q15" s="44"/>
      <c r="R15" s="49"/>
      <c r="T15" s="29"/>
    </row>
    <row r="16" spans="1:20" x14ac:dyDescent="0.25">
      <c r="A16" s="35" t="s">
        <v>21</v>
      </c>
      <c r="B16" s="36">
        <f>C16/12</f>
        <v>0</v>
      </c>
      <c r="C16" s="36">
        <v>0</v>
      </c>
      <c r="D16" s="51">
        <f>C16/C20</f>
        <v>0</v>
      </c>
      <c r="E16" s="51">
        <f>C16/B50</f>
        <v>0</v>
      </c>
      <c r="H16" s="38"/>
      <c r="I16" s="38"/>
      <c r="J16" s="38"/>
      <c r="K16" s="38"/>
      <c r="L16" s="38"/>
      <c r="P16" s="29"/>
      <c r="Q16" s="44"/>
      <c r="T16" s="29"/>
    </row>
    <row r="17" spans="1:20" x14ac:dyDescent="0.25">
      <c r="A17" s="35" t="s">
        <v>22</v>
      </c>
      <c r="B17" s="36">
        <f>C17/12</f>
        <v>68.25</v>
      </c>
      <c r="C17" s="36">
        <f>(68.25)*12</f>
        <v>819</v>
      </c>
      <c r="D17" s="40">
        <f>C17/C20</f>
        <v>2.8550867843020782E-2</v>
      </c>
      <c r="E17" s="40">
        <f>C17/B50</f>
        <v>2.3860021208907737E-2</v>
      </c>
      <c r="G17" s="38"/>
      <c r="H17" s="38"/>
      <c r="I17" s="38"/>
      <c r="J17" s="38"/>
      <c r="K17" s="38"/>
      <c r="L17" s="38"/>
      <c r="P17" s="29"/>
      <c r="Q17" s="44"/>
      <c r="T17" s="29"/>
    </row>
    <row r="18" spans="1:20" x14ac:dyDescent="0.25">
      <c r="A18" s="35" t="s">
        <v>23</v>
      </c>
      <c r="B18" s="36">
        <f>C18/12</f>
        <v>149.26666666666668</v>
      </c>
      <c r="C18" s="36">
        <v>1791.2</v>
      </c>
      <c r="D18" s="40">
        <f>C18/C20</f>
        <v>6.2442386422977808E-2</v>
      </c>
      <c r="E18" s="40">
        <f>C18/B50</f>
        <v>5.2183235640287595E-2</v>
      </c>
      <c r="G18" s="38"/>
      <c r="H18" s="38"/>
      <c r="I18" s="38"/>
      <c r="J18" s="38"/>
      <c r="K18" s="38"/>
      <c r="L18" s="38"/>
      <c r="P18" s="29"/>
      <c r="Q18" s="44"/>
      <c r="T18" s="29"/>
    </row>
    <row r="19" spans="1:20" x14ac:dyDescent="0.25">
      <c r="A19" s="35" t="s">
        <v>24</v>
      </c>
      <c r="B19" s="36">
        <f>C19/12</f>
        <v>110.01666666666667</v>
      </c>
      <c r="C19" s="36">
        <f>B47*B48*2</f>
        <v>1320.2</v>
      </c>
      <c r="D19" s="40">
        <f>C19/C20</f>
        <v>4.6023022864903583E-2</v>
      </c>
      <c r="E19" s="40">
        <f>C19/B50</f>
        <v>3.8461538461538457E-2</v>
      </c>
      <c r="G19" s="38"/>
      <c r="H19" s="38"/>
      <c r="I19" s="38"/>
      <c r="J19" s="38"/>
      <c r="K19" s="38"/>
      <c r="L19" s="38"/>
      <c r="P19" s="29"/>
      <c r="Q19" s="44"/>
      <c r="T19" s="29"/>
    </row>
    <row r="20" spans="1:20" x14ac:dyDescent="0.25">
      <c r="A20" s="35" t="s">
        <v>25</v>
      </c>
      <c r="B20" s="36">
        <f>SUM(B9:B19)-B14</f>
        <v>2390.4702433304005</v>
      </c>
      <c r="C20" s="36">
        <f>SUM(C9:C19)-C14</f>
        <v>28685.642919964808</v>
      </c>
      <c r="D20" s="40">
        <f>C20/C20</f>
        <v>1</v>
      </c>
      <c r="E20" s="40">
        <f>SUM(E9:E18)-E14</f>
        <v>0.79724059641210565</v>
      </c>
      <c r="G20" s="38"/>
      <c r="H20" s="38"/>
      <c r="I20" s="29"/>
      <c r="J20" s="38"/>
      <c r="K20" s="38"/>
      <c r="L20" s="38"/>
      <c r="P20" s="29"/>
      <c r="Q20" s="44"/>
      <c r="T20" s="29"/>
    </row>
    <row r="21" spans="1:20" x14ac:dyDescent="0.25">
      <c r="B21" s="38"/>
      <c r="C21" s="38"/>
      <c r="D21" s="38"/>
      <c r="E21" s="38"/>
      <c r="F21" s="38"/>
      <c r="G21" s="38"/>
      <c r="H21" s="29"/>
      <c r="I21" s="38"/>
      <c r="J21" s="38"/>
      <c r="K21" s="38"/>
      <c r="L21" s="38"/>
      <c r="P21" s="29"/>
      <c r="Q21" s="44"/>
      <c r="T21" s="29"/>
    </row>
    <row r="22" spans="1:20" x14ac:dyDescent="0.25">
      <c r="B22" s="38"/>
      <c r="C22" s="38"/>
      <c r="P22" s="29"/>
      <c r="Q22" s="44"/>
      <c r="T22" s="29"/>
    </row>
    <row r="23" spans="1:20" ht="15.6" x14ac:dyDescent="0.3">
      <c r="B23" s="26" t="s">
        <v>73</v>
      </c>
      <c r="P23" s="29"/>
      <c r="Q23" s="44"/>
      <c r="T23" s="29"/>
    </row>
    <row r="24" spans="1:20" ht="12.75" customHeight="1" x14ac:dyDescent="0.3">
      <c r="C24" s="26"/>
      <c r="P24" s="29"/>
      <c r="Q24" s="44"/>
      <c r="T24" s="29"/>
    </row>
    <row r="25" spans="1:20" x14ac:dyDescent="0.25">
      <c r="A25" s="55" t="s">
        <v>61</v>
      </c>
      <c r="B25" s="31" t="s">
        <v>50</v>
      </c>
      <c r="C25" s="31" t="s">
        <v>12</v>
      </c>
      <c r="D25" s="27"/>
      <c r="E25" s="52"/>
      <c r="F25" s="52"/>
      <c r="G25" s="52"/>
      <c r="H25" s="56"/>
      <c r="I25" s="52"/>
      <c r="J25" s="52"/>
      <c r="P25" s="29"/>
      <c r="Q25" s="44"/>
    </row>
    <row r="26" spans="1:20" x14ac:dyDescent="0.25">
      <c r="A26" s="35"/>
      <c r="B26" s="36"/>
      <c r="C26" s="57"/>
      <c r="D26" s="46"/>
      <c r="E26" s="58"/>
      <c r="F26" s="59"/>
      <c r="G26" s="59"/>
      <c r="H26" s="59"/>
      <c r="I26" s="58"/>
      <c r="J26" s="59"/>
      <c r="K26" s="25"/>
      <c r="L26" s="25"/>
      <c r="P26" s="29"/>
      <c r="Q26" s="44"/>
    </row>
    <row r="27" spans="1:20" x14ac:dyDescent="0.25">
      <c r="A27" s="35"/>
      <c r="B27" s="36"/>
      <c r="C27" s="36"/>
      <c r="E27" s="52" t="s">
        <v>74</v>
      </c>
      <c r="F27" s="52" t="s">
        <v>75</v>
      </c>
      <c r="G27" s="52" t="s">
        <v>76</v>
      </c>
      <c r="H27" s="56" t="s">
        <v>77</v>
      </c>
      <c r="K27" s="25"/>
      <c r="L27" s="25"/>
      <c r="P27" s="29"/>
      <c r="Q27" s="44"/>
    </row>
    <row r="28" spans="1:20" x14ac:dyDescent="0.25">
      <c r="A28" s="35" t="s">
        <v>27</v>
      </c>
      <c r="B28" s="57">
        <f>C28/12</f>
        <v>0</v>
      </c>
      <c r="C28" s="36">
        <f>MAX(0,E28)</f>
        <v>0</v>
      </c>
      <c r="E28" s="58"/>
      <c r="F28" s="59"/>
      <c r="G28" s="59"/>
      <c r="H28" s="60"/>
      <c r="K28" s="25"/>
      <c r="L28" s="25"/>
      <c r="P28" s="29"/>
      <c r="Q28" s="44"/>
    </row>
    <row r="29" spans="1:20" x14ac:dyDescent="0.25">
      <c r="A29" s="35" t="s">
        <v>78</v>
      </c>
      <c r="B29" s="36">
        <f>C29/12</f>
        <v>0</v>
      </c>
      <c r="C29" s="36">
        <v>0</v>
      </c>
      <c r="E29" s="52" t="s">
        <v>79</v>
      </c>
      <c r="F29" s="52" t="s">
        <v>80</v>
      </c>
      <c r="G29" s="52" t="s">
        <v>81</v>
      </c>
      <c r="H29" s="38"/>
      <c r="I29" s="38"/>
      <c r="P29" s="29"/>
      <c r="Q29" s="44"/>
    </row>
    <row r="30" spans="1:20" x14ac:dyDescent="0.25">
      <c r="A30" s="35" t="s">
        <v>28</v>
      </c>
      <c r="B30" s="36">
        <f ca="1">(C30)/12</f>
        <v>24.166666666666668</v>
      </c>
      <c r="C30" s="36">
        <f ca="1">G30</f>
        <v>290</v>
      </c>
      <c r="D30" s="25"/>
      <c r="E30" s="46">
        <f>290</f>
        <v>290</v>
      </c>
      <c r="F30" s="25">
        <f ca="1">IF((B52-37789)*0.05&gt;0,(B52-37789)*0.05,0)</f>
        <v>0</v>
      </c>
      <c r="G30" s="46">
        <f ca="1">IF(E30&gt;F30,E30-F30,0)</f>
        <v>290</v>
      </c>
      <c r="H30" s="38"/>
      <c r="I30" s="38"/>
      <c r="K30" s="25"/>
      <c r="L30" s="25"/>
      <c r="P30" s="29"/>
    </row>
    <row r="31" spans="1:20" x14ac:dyDescent="0.25">
      <c r="A31" s="35" t="s">
        <v>29</v>
      </c>
      <c r="B31" s="36">
        <f ca="1">C31/12</f>
        <v>0</v>
      </c>
      <c r="C31" s="36">
        <f ca="1">IF(C15&gt;F34,C15-F34,0)</f>
        <v>0</v>
      </c>
      <c r="D31" s="46"/>
      <c r="E31" s="21" t="s">
        <v>137</v>
      </c>
      <c r="H31" s="38"/>
      <c r="J31" s="38"/>
      <c r="K31" s="25"/>
      <c r="L31" s="25"/>
    </row>
    <row r="32" spans="1:20" x14ac:dyDescent="0.25">
      <c r="A32" s="35" t="s">
        <v>82</v>
      </c>
      <c r="B32" s="36">
        <f ca="1">E32</f>
        <v>0</v>
      </c>
      <c r="C32" s="36">
        <f ca="1">E32*12</f>
        <v>0</v>
      </c>
      <c r="D32" s="46"/>
      <c r="E32" s="46">
        <f ca="1">IF(B52&lt;23040,(0.75*768-B52*0.3/12),0)</f>
        <v>0</v>
      </c>
      <c r="H32" s="38"/>
      <c r="J32" s="38"/>
      <c r="K32" s="25"/>
      <c r="L32" s="25"/>
    </row>
    <row r="33" spans="1:16" x14ac:dyDescent="0.25">
      <c r="A33" s="35" t="s">
        <v>25</v>
      </c>
      <c r="B33" s="36">
        <f ca="1">SUM(B26:B32)</f>
        <v>24.166666666666668</v>
      </c>
      <c r="C33" s="36">
        <f ca="1">SUM(C26:C32)</f>
        <v>290</v>
      </c>
      <c r="E33" s="52" t="s">
        <v>83</v>
      </c>
      <c r="F33" s="52" t="s">
        <v>84</v>
      </c>
      <c r="G33" s="52"/>
      <c r="H33" s="38"/>
      <c r="I33" s="38"/>
      <c r="N33" s="27"/>
      <c r="O33" s="28"/>
      <c r="P33" s="61"/>
    </row>
    <row r="34" spans="1:16" x14ac:dyDescent="0.25">
      <c r="B34" s="38"/>
      <c r="C34" s="38"/>
      <c r="E34" s="21">
        <f>12083</f>
        <v>12083</v>
      </c>
      <c r="F34" s="38">
        <f ca="1">IF(IF((B52-E34+5356)&lt;0,(B52-E34)*0.25,(B52-E34+5356)*0.5+1339)&gt;0,IF((B52-E34+5356)&lt;0,(B52-E34)*0.25,(B52-E34+5356)*0.5+1339),P8+N9)</f>
        <v>14134.350000000002</v>
      </c>
      <c r="H34" s="38"/>
      <c r="I34" s="38"/>
    </row>
    <row r="35" spans="1:16" x14ac:dyDescent="0.25">
      <c r="B35" s="38"/>
      <c r="C35" s="38"/>
    </row>
    <row r="36" spans="1:16" ht="15.6" x14ac:dyDescent="0.3">
      <c r="B36" s="26" t="s">
        <v>85</v>
      </c>
    </row>
    <row r="37" spans="1:16" ht="12.75" customHeight="1" x14ac:dyDescent="0.25">
      <c r="A37" s="22"/>
    </row>
    <row r="38" spans="1:16" ht="12.75" customHeight="1" x14ac:dyDescent="0.3">
      <c r="A38" s="62"/>
      <c r="B38" s="31"/>
      <c r="C38" s="31" t="s">
        <v>12</v>
      </c>
      <c r="D38" s="27"/>
      <c r="E38" s="69"/>
      <c r="F38" s="27"/>
      <c r="G38" s="27"/>
      <c r="I38" s="27"/>
    </row>
    <row r="39" spans="1:16" x14ac:dyDescent="0.25">
      <c r="A39" s="35" t="s">
        <v>31</v>
      </c>
      <c r="B39" s="36"/>
      <c r="C39" s="36">
        <f ca="1">C33+B57</f>
        <v>28696.131147520002</v>
      </c>
      <c r="E39" s="52"/>
      <c r="F39" s="52"/>
      <c r="G39" s="52"/>
      <c r="H39" s="53"/>
      <c r="I39" s="53"/>
    </row>
    <row r="40" spans="1:16" x14ac:dyDescent="0.25">
      <c r="A40" s="35" t="s">
        <v>120</v>
      </c>
      <c r="B40" s="36"/>
      <c r="C40" s="36">
        <f>C20</f>
        <v>28685.642919964808</v>
      </c>
      <c r="E40" s="52"/>
      <c r="F40" s="52"/>
      <c r="G40" s="52"/>
      <c r="H40" s="70"/>
      <c r="I40" s="53"/>
    </row>
    <row r="41" spans="1:16" x14ac:dyDescent="0.25">
      <c r="A41" s="35" t="s">
        <v>33</v>
      </c>
      <c r="B41" s="36"/>
      <c r="C41" s="36">
        <f ca="1">C39-C40</f>
        <v>10.488227555193589</v>
      </c>
      <c r="E41" s="38"/>
      <c r="H41" s="38"/>
      <c r="I41" s="38"/>
    </row>
    <row r="42" spans="1:16" x14ac:dyDescent="0.25">
      <c r="B42" s="38"/>
      <c r="C42" s="38"/>
      <c r="H42" s="38"/>
      <c r="I42" s="38"/>
    </row>
    <row r="43" spans="1:16" x14ac:dyDescent="0.25">
      <c r="B43" s="38"/>
      <c r="C43" s="38"/>
      <c r="E43" s="38"/>
      <c r="H43" s="38"/>
      <c r="I43" s="38"/>
    </row>
    <row r="44" spans="1:16" ht="15.6" x14ac:dyDescent="0.3">
      <c r="A44" s="63" t="s">
        <v>121</v>
      </c>
    </row>
    <row r="45" spans="1:16" x14ac:dyDescent="0.25">
      <c r="B45" s="27"/>
    </row>
    <row r="46" spans="1:16" s="45" customFormat="1" x14ac:dyDescent="0.25">
      <c r="A46" s="31"/>
      <c r="B46" s="71" t="s">
        <v>128</v>
      </c>
      <c r="C46" s="27"/>
      <c r="D46" s="27"/>
    </row>
    <row r="47" spans="1:16" x14ac:dyDescent="0.25">
      <c r="A47" s="35" t="s">
        <v>35</v>
      </c>
      <c r="B47" s="35">
        <v>35</v>
      </c>
      <c r="E47" s="45"/>
      <c r="F47" s="45"/>
      <c r="G47" s="45"/>
      <c r="H47" s="45"/>
      <c r="I47" s="45"/>
    </row>
    <row r="48" spans="1:16" x14ac:dyDescent="0.25">
      <c r="A48" s="35" t="s">
        <v>36</v>
      </c>
      <c r="B48" s="72">
        <v>18.86</v>
      </c>
      <c r="E48" s="45"/>
      <c r="F48" s="45"/>
      <c r="G48" s="45"/>
      <c r="H48" s="45"/>
      <c r="I48" s="45"/>
    </row>
    <row r="49" spans="1:19" ht="3.75" customHeight="1" x14ac:dyDescent="0.25">
      <c r="A49" s="30"/>
      <c r="B49" s="30"/>
      <c r="E49" s="45"/>
      <c r="F49" s="45"/>
      <c r="G49" s="45"/>
      <c r="H49" s="45"/>
      <c r="I49" s="45"/>
    </row>
    <row r="50" spans="1:19" x14ac:dyDescent="0.25">
      <c r="A50" s="35" t="s">
        <v>122</v>
      </c>
      <c r="B50" s="36">
        <f>B48*B47*52</f>
        <v>34325.200000000004</v>
      </c>
      <c r="E50" s="45"/>
      <c r="F50" s="52" t="s">
        <v>88</v>
      </c>
      <c r="I50" s="38"/>
      <c r="K50" s="21" t="s">
        <v>146</v>
      </c>
      <c r="M50" s="52" t="s">
        <v>88</v>
      </c>
      <c r="N50" s="21"/>
    </row>
    <row r="51" spans="1:19" x14ac:dyDescent="0.25">
      <c r="A51" s="35" t="s">
        <v>38</v>
      </c>
      <c r="B51" s="36">
        <f ca="1">-C15+C31-K51</f>
        <v>-2007.5</v>
      </c>
      <c r="E51" s="45"/>
      <c r="F51" s="52" t="s">
        <v>129</v>
      </c>
      <c r="G51" s="52" t="s">
        <v>90</v>
      </c>
      <c r="H51" s="52" t="s">
        <v>91</v>
      </c>
      <c r="I51" s="52" t="s">
        <v>92</v>
      </c>
      <c r="K51" s="21">
        <f>5.5*365</f>
        <v>2007.5</v>
      </c>
      <c r="M51" s="52" t="s">
        <v>129</v>
      </c>
      <c r="N51" s="52" t="s">
        <v>148</v>
      </c>
      <c r="O51" s="52" t="s">
        <v>94</v>
      </c>
      <c r="P51" s="52" t="s">
        <v>95</v>
      </c>
      <c r="Q51" s="52" t="s">
        <v>96</v>
      </c>
      <c r="R51" s="52" t="s">
        <v>97</v>
      </c>
      <c r="S51" s="52" t="s">
        <v>98</v>
      </c>
    </row>
    <row r="52" spans="1:19" x14ac:dyDescent="0.25">
      <c r="A52" s="35" t="s">
        <v>39</v>
      </c>
      <c r="B52" s="36">
        <f ca="1">B50+B51</f>
        <v>32317.700000000004</v>
      </c>
      <c r="E52" s="45"/>
      <c r="F52" s="64">
        <v>1</v>
      </c>
      <c r="G52" s="46">
        <f ca="1">B52*0.15</f>
        <v>4847.6550000000007</v>
      </c>
      <c r="H52" s="46">
        <f ca="1">(N52+B53+B54+O52+P52)*0.15</f>
        <v>2312.873016</v>
      </c>
      <c r="I52" s="46">
        <f ca="1">IF(Q52&gt;0, Q52,0)+R52+S52</f>
        <v>1491</v>
      </c>
      <c r="M52" s="21">
        <v>1</v>
      </c>
      <c r="N52" s="38">
        <f>12069</f>
        <v>12069</v>
      </c>
      <c r="O52" s="38">
        <v>1222</v>
      </c>
      <c r="P52" s="21">
        <f ca="1">IF(C17-B52*0.03&gt;0,C17-B52*0.03,0)</f>
        <v>0</v>
      </c>
      <c r="Q52" s="21">
        <f>IF((B50-3000)*0.26&lt;1355,(B50-3000)*0.26,1355)-IF(B50-12820&gt;0,B50-12820,0)*0.12</f>
        <v>-1225.6240000000003</v>
      </c>
      <c r="R52" s="21">
        <f ca="1">MIN(IF((0.25*N52 - 0.05*(B52-27044))&gt;0,(0.25*N52 - 0.05*(B52-27044)),0),1248)</f>
        <v>1248</v>
      </c>
      <c r="S52" s="21">
        <f>243</f>
        <v>243</v>
      </c>
    </row>
    <row r="53" spans="1:19" x14ac:dyDescent="0.25">
      <c r="A53" s="35" t="s">
        <v>40</v>
      </c>
      <c r="B53" s="36">
        <f>B50*0.0162</f>
        <v>556.06824000000006</v>
      </c>
      <c r="E53" s="45"/>
      <c r="F53" s="64"/>
      <c r="G53" s="46"/>
      <c r="H53" s="46"/>
      <c r="I53" s="38"/>
    </row>
    <row r="54" spans="1:19" x14ac:dyDescent="0.25">
      <c r="A54" s="35" t="s">
        <v>41</v>
      </c>
      <c r="B54" s="36">
        <f>IF(((B50-3500)*0.051)&lt;2748.9,(B50-3500)*0.051,2748.9)</f>
        <v>1572.0852000000002</v>
      </c>
      <c r="C54" s="45"/>
      <c r="E54" s="45"/>
    </row>
    <row r="55" spans="1:19" x14ac:dyDescent="0.25">
      <c r="A55" s="35" t="s">
        <v>42</v>
      </c>
      <c r="B55" s="36">
        <f ca="1">IF(G52-H52&lt;0,-I52,G52-H52)</f>
        <v>2534.7819840000006</v>
      </c>
      <c r="C55" s="45"/>
      <c r="E55" s="45"/>
      <c r="F55" s="52" t="s">
        <v>99</v>
      </c>
      <c r="I55" s="38"/>
      <c r="K55" s="52" t="s">
        <v>99</v>
      </c>
      <c r="N55" s="21"/>
    </row>
    <row r="56" spans="1:19" x14ac:dyDescent="0.25">
      <c r="A56" s="35" t="s">
        <v>43</v>
      </c>
      <c r="B56" s="36">
        <f ca="1">IF(G57-H57&lt;0,0,G57-H57)-I57</f>
        <v>1256.1334284800005</v>
      </c>
      <c r="C56" s="38"/>
      <c r="E56" s="46"/>
      <c r="F56" s="52" t="s">
        <v>129</v>
      </c>
      <c r="G56" s="52" t="s">
        <v>90</v>
      </c>
      <c r="H56" s="52" t="s">
        <v>91</v>
      </c>
      <c r="I56" s="52" t="s">
        <v>100</v>
      </c>
      <c r="K56" s="52" t="s">
        <v>129</v>
      </c>
      <c r="L56" s="52" t="s">
        <v>130</v>
      </c>
      <c r="M56" s="52" t="s">
        <v>101</v>
      </c>
      <c r="N56" s="52" t="s">
        <v>102</v>
      </c>
      <c r="O56" s="52" t="s">
        <v>95</v>
      </c>
      <c r="P56" s="52" t="s">
        <v>103</v>
      </c>
      <c r="Q56" s="52" t="s">
        <v>104</v>
      </c>
    </row>
    <row r="57" spans="1:19" x14ac:dyDescent="0.25">
      <c r="A57" s="35" t="s">
        <v>44</v>
      </c>
      <c r="B57" s="36">
        <f ca="1">B50-SUM(B53:B56)</f>
        <v>28406.131147520002</v>
      </c>
      <c r="E57" s="38"/>
      <c r="F57" s="64">
        <v>1</v>
      </c>
      <c r="G57" s="46">
        <f ca="1">IF(B52&lt;33389,B52*0.108,(B52-33389)*0.1275+(33389*0.108))</f>
        <v>3490.3116000000005</v>
      </c>
      <c r="H57" s="46">
        <f ca="1">(L57+B53+B54+M57+N57+O57)*0.108</f>
        <v>1534.17817152</v>
      </c>
      <c r="I57" s="46">
        <f ca="1">P57+Q57</f>
        <v>700</v>
      </c>
      <c r="K57" s="21">
        <v>1</v>
      </c>
      <c r="L57" s="21">
        <f>9626</f>
        <v>9626</v>
      </c>
      <c r="M57" s="38">
        <f>1491.2+120*8</f>
        <v>2451.1999999999998</v>
      </c>
      <c r="N57" s="45">
        <v>0</v>
      </c>
      <c r="O57" s="21">
        <f ca="1">IF(C17-B52*0.03&gt;0,C17-B52*0.03,0)</f>
        <v>0</v>
      </c>
      <c r="P57" s="21">
        <f ca="1">IF(195-(B52*0.01)&gt;0,195-(B52*0.01),0)</f>
        <v>0</v>
      </c>
      <c r="Q57" s="21">
        <f ca="1">700-(IF(C32&gt;700,700,C32))</f>
        <v>700</v>
      </c>
    </row>
    <row r="58" spans="1:19" x14ac:dyDescent="0.25">
      <c r="A58" s="35" t="s">
        <v>45</v>
      </c>
      <c r="B58" s="36">
        <f ca="1">B57/12</f>
        <v>2367.177595626667</v>
      </c>
      <c r="F58" s="64"/>
      <c r="G58" s="46"/>
      <c r="H58" s="46"/>
      <c r="I58" s="46"/>
    </row>
    <row r="59" spans="1:19" x14ac:dyDescent="0.25">
      <c r="B59" s="38"/>
      <c r="C59" s="38"/>
      <c r="D59" s="38"/>
    </row>
    <row r="60" spans="1:19" x14ac:dyDescent="0.25">
      <c r="B60" s="38"/>
      <c r="C60" s="38"/>
      <c r="D60" s="38"/>
    </row>
    <row r="61" spans="1:19" s="28" customFormat="1" x14ac:dyDescent="0.25">
      <c r="B61" s="28" t="s">
        <v>124</v>
      </c>
      <c r="N61" s="27"/>
    </row>
    <row r="63" spans="1:19" x14ac:dyDescent="0.25">
      <c r="A63" s="21" t="s">
        <v>106</v>
      </c>
      <c r="D63" s="38">
        <f>B50</f>
        <v>34325.200000000004</v>
      </c>
    </row>
    <row r="64" spans="1:19" x14ac:dyDescent="0.25">
      <c r="A64" s="21" t="s">
        <v>107</v>
      </c>
      <c r="D64" s="38">
        <f ca="1">SUM(B53:B56)</f>
        <v>5919.0688524800016</v>
      </c>
    </row>
    <row r="65" spans="1:9" x14ac:dyDescent="0.25">
      <c r="A65" s="21" t="s">
        <v>108</v>
      </c>
      <c r="D65" s="38">
        <f ca="1">D63-D64</f>
        <v>28406.131147520002</v>
      </c>
    </row>
    <row r="66" spans="1:9" x14ac:dyDescent="0.25">
      <c r="A66" s="21" t="s">
        <v>109</v>
      </c>
      <c r="D66" s="38">
        <f ca="1">C33</f>
        <v>290</v>
      </c>
    </row>
    <row r="67" spans="1:9" x14ac:dyDescent="0.25">
      <c r="A67" s="21" t="s">
        <v>110</v>
      </c>
      <c r="D67" s="38">
        <f ca="1">D65+D66</f>
        <v>28696.131147520002</v>
      </c>
    </row>
    <row r="68" spans="1:9" x14ac:dyDescent="0.25">
      <c r="A68" s="21" t="s">
        <v>111</v>
      </c>
      <c r="D68" s="38">
        <f>C20</f>
        <v>28685.642919964808</v>
      </c>
    </row>
    <row r="69" spans="1:9" x14ac:dyDescent="0.25">
      <c r="A69" s="21" t="s">
        <v>112</v>
      </c>
      <c r="D69" s="38">
        <f ca="1">D67-D68</f>
        <v>10.488227555193589</v>
      </c>
    </row>
    <row r="71" spans="1:9" ht="12.75" customHeight="1" x14ac:dyDescent="0.3">
      <c r="B71" s="38"/>
      <c r="C71" s="26"/>
      <c r="E71" s="26"/>
      <c r="F71" s="26"/>
      <c r="G71" s="26"/>
      <c r="H71" s="26"/>
      <c r="I71" s="26"/>
    </row>
    <row r="72" spans="1:9" x14ac:dyDescent="0.25">
      <c r="B72" s="38"/>
    </row>
    <row r="73" spans="1:9" x14ac:dyDescent="0.25">
      <c r="A73" s="28"/>
      <c r="B73" s="45"/>
      <c r="C73" s="45"/>
      <c r="D73" s="45"/>
      <c r="E73" s="28"/>
      <c r="F73" s="28"/>
      <c r="G73" s="28"/>
      <c r="H73" s="28"/>
      <c r="I73" s="28"/>
    </row>
    <row r="74" spans="1:9" x14ac:dyDescent="0.25">
      <c r="B74" s="38"/>
      <c r="C74" s="65"/>
      <c r="D74" s="38"/>
    </row>
    <row r="75" spans="1:9" ht="15" x14ac:dyDescent="0.25">
      <c r="A75" s="22"/>
      <c r="B75" s="38"/>
      <c r="C75" s="65"/>
      <c r="D75" s="38"/>
    </row>
    <row r="76" spans="1:9" x14ac:dyDescent="0.25">
      <c r="B76" s="38"/>
      <c r="C76" s="66"/>
    </row>
    <row r="77" spans="1:9" x14ac:dyDescent="0.25">
      <c r="B77" s="38"/>
      <c r="C77" s="66"/>
    </row>
    <row r="78" spans="1:9" x14ac:dyDescent="0.25">
      <c r="B78" s="27"/>
      <c r="C78" s="27"/>
      <c r="D78" s="27"/>
      <c r="E78" s="27"/>
      <c r="F78" s="27"/>
    </row>
    <row r="79" spans="1:9" x14ac:dyDescent="0.25">
      <c r="B79" s="27"/>
      <c r="C79" s="27"/>
      <c r="D79" s="27"/>
      <c r="E79" s="27"/>
      <c r="F79" s="27"/>
    </row>
    <row r="80" spans="1:9" x14ac:dyDescent="0.25">
      <c r="B80" s="27"/>
      <c r="C80" s="27"/>
      <c r="D80" s="27"/>
      <c r="E80" s="27"/>
      <c r="F80" s="27"/>
    </row>
    <row r="81" spans="2:6" x14ac:dyDescent="0.25">
      <c r="D81" s="50"/>
      <c r="E81" s="50"/>
      <c r="F81" s="67"/>
    </row>
    <row r="82" spans="2:6" x14ac:dyDescent="0.25">
      <c r="D82" s="50"/>
      <c r="E82" s="50"/>
      <c r="F82" s="67"/>
    </row>
    <row r="83" spans="2:6" x14ac:dyDescent="0.25">
      <c r="D83" s="50"/>
      <c r="E83" s="50"/>
      <c r="F83" s="67"/>
    </row>
    <row r="84" spans="2:6" x14ac:dyDescent="0.25">
      <c r="D84" s="50"/>
      <c r="E84" s="50"/>
      <c r="F84" s="67"/>
    </row>
    <row r="87" spans="2:6" x14ac:dyDescent="0.25">
      <c r="B87" s="27"/>
      <c r="C87" s="27"/>
      <c r="D87" s="27"/>
      <c r="E87" s="27"/>
      <c r="F87" s="27"/>
    </row>
    <row r="88" spans="2:6" x14ac:dyDescent="0.25">
      <c r="B88" s="27"/>
      <c r="C88" s="27"/>
      <c r="D88" s="27"/>
      <c r="E88" s="27"/>
      <c r="F88" s="27"/>
    </row>
    <row r="89" spans="2:6" x14ac:dyDescent="0.25">
      <c r="B89" s="27"/>
      <c r="C89" s="27"/>
      <c r="D89" s="27"/>
      <c r="E89" s="27"/>
      <c r="F89" s="27"/>
    </row>
    <row r="90" spans="2:6" x14ac:dyDescent="0.25">
      <c r="D90" s="50"/>
      <c r="E90" s="50"/>
      <c r="F90" s="67"/>
    </row>
    <row r="91" spans="2:6" x14ac:dyDescent="0.25">
      <c r="D91" s="50"/>
      <c r="E91" s="50"/>
      <c r="F91" s="67"/>
    </row>
    <row r="92" spans="2:6" x14ac:dyDescent="0.25">
      <c r="D92" s="50"/>
      <c r="E92" s="50"/>
      <c r="F92" s="67"/>
    </row>
    <row r="93" spans="2:6" x14ac:dyDescent="0.25">
      <c r="D93" s="50"/>
      <c r="E93" s="50"/>
      <c r="F93" s="67"/>
    </row>
    <row r="94" spans="2:6" x14ac:dyDescent="0.25">
      <c r="B94" s="38"/>
      <c r="C94" s="65"/>
    </row>
    <row r="95" spans="2:6" x14ac:dyDescent="0.25">
      <c r="B95" s="38"/>
      <c r="C95" s="38"/>
      <c r="D95" s="38"/>
    </row>
    <row r="96" spans="2:6" x14ac:dyDescent="0.25">
      <c r="B96" s="38"/>
      <c r="C96" s="66"/>
    </row>
    <row r="97" spans="2:6" x14ac:dyDescent="0.25">
      <c r="B97" s="38"/>
      <c r="C97" s="66"/>
    </row>
    <row r="98" spans="2:6" x14ac:dyDescent="0.25">
      <c r="B98" s="27"/>
      <c r="C98" s="27"/>
      <c r="D98" s="27"/>
      <c r="E98" s="27"/>
      <c r="F98" s="27"/>
    </row>
    <row r="99" spans="2:6" x14ac:dyDescent="0.25">
      <c r="B99" s="27"/>
      <c r="C99" s="27"/>
      <c r="D99" s="27"/>
      <c r="E99" s="27"/>
      <c r="F99" s="27"/>
    </row>
    <row r="100" spans="2:6" x14ac:dyDescent="0.25">
      <c r="B100" s="27"/>
      <c r="C100" s="27"/>
      <c r="D100" s="27"/>
      <c r="E100" s="27"/>
      <c r="F100" s="27"/>
    </row>
    <row r="101" spans="2:6" x14ac:dyDescent="0.25">
      <c r="D101" s="50"/>
      <c r="E101" s="50"/>
      <c r="F101" s="67"/>
    </row>
    <row r="102" spans="2:6" x14ac:dyDescent="0.25">
      <c r="D102" s="50"/>
      <c r="E102" s="50"/>
      <c r="F102" s="67"/>
    </row>
    <row r="103" spans="2:6" x14ac:dyDescent="0.25">
      <c r="D103" s="50"/>
      <c r="E103" s="50"/>
      <c r="F103" s="67"/>
    </row>
    <row r="104" spans="2:6" x14ac:dyDescent="0.25">
      <c r="D104" s="50"/>
      <c r="E104" s="50"/>
      <c r="F104" s="67"/>
    </row>
    <row r="107" spans="2:6" x14ac:dyDescent="0.25">
      <c r="B107" s="27"/>
      <c r="C107" s="27"/>
      <c r="D107" s="27"/>
      <c r="E107" s="27"/>
      <c r="F107" s="27"/>
    </row>
    <row r="108" spans="2:6" x14ac:dyDescent="0.25">
      <c r="B108" s="27"/>
      <c r="C108" s="27"/>
      <c r="D108" s="27"/>
      <c r="E108" s="27"/>
      <c r="F108" s="27"/>
    </row>
    <row r="109" spans="2:6" x14ac:dyDescent="0.25">
      <c r="B109" s="27"/>
      <c r="C109" s="27"/>
      <c r="D109" s="27"/>
      <c r="E109" s="27"/>
      <c r="F109" s="27"/>
    </row>
    <row r="110" spans="2:6" x14ac:dyDescent="0.25">
      <c r="D110" s="50"/>
      <c r="E110" s="50"/>
      <c r="F110" s="67"/>
    </row>
    <row r="111" spans="2:6" x14ac:dyDescent="0.25">
      <c r="D111" s="50"/>
      <c r="E111" s="50"/>
      <c r="F111" s="67"/>
    </row>
    <row r="112" spans="2:6" x14ac:dyDescent="0.25">
      <c r="D112" s="50"/>
      <c r="E112" s="50"/>
      <c r="F112" s="67"/>
    </row>
    <row r="113" spans="4:6" x14ac:dyDescent="0.25">
      <c r="D113" s="50"/>
      <c r="E113" s="50"/>
      <c r="F113" s="67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D5E2-8873-4309-B559-42A43E0102FB}">
  <dimension ref="B2:D11"/>
  <sheetViews>
    <sheetView zoomScale="90" zoomScaleNormal="90" workbookViewId="0">
      <selection activeCell="D9" sqref="D9"/>
    </sheetView>
  </sheetViews>
  <sheetFormatPr defaultColWidth="15.21875" defaultRowHeight="13.2" x14ac:dyDescent="0.25"/>
  <cols>
    <col min="1" max="12" width="15.21875" style="21"/>
    <col min="13" max="13" width="23.44140625" style="21" customWidth="1"/>
    <col min="14" max="16384" width="15.21875" style="21"/>
  </cols>
  <sheetData>
    <row r="2" spans="2:4" x14ac:dyDescent="0.25">
      <c r="B2" s="21" t="s">
        <v>149</v>
      </c>
      <c r="C2" s="21">
        <v>5082</v>
      </c>
      <c r="D2" s="21">
        <v>1016.4</v>
      </c>
    </row>
    <row r="3" spans="2:4" x14ac:dyDescent="0.25">
      <c r="B3" s="21" t="s">
        <v>150</v>
      </c>
      <c r="C3" s="21" t="s">
        <v>151</v>
      </c>
      <c r="D3" s="21">
        <v>28.75</v>
      </c>
    </row>
    <row r="4" spans="2:4" x14ac:dyDescent="0.25">
      <c r="B4" s="21" t="s">
        <v>152</v>
      </c>
      <c r="C4" s="21">
        <v>1500</v>
      </c>
      <c r="D4" s="21">
        <v>300</v>
      </c>
    </row>
    <row r="5" spans="2:4" x14ac:dyDescent="0.25">
      <c r="B5" s="207" t="s">
        <v>153</v>
      </c>
      <c r="C5" s="21" t="s">
        <v>154</v>
      </c>
      <c r="D5" s="21">
        <f>0.61*6+254.81</f>
        <v>258.47000000000003</v>
      </c>
    </row>
    <row r="6" spans="2:4" x14ac:dyDescent="0.25">
      <c r="B6" s="21" t="s">
        <v>155</v>
      </c>
      <c r="C6" s="21" t="s">
        <v>156</v>
      </c>
      <c r="D6" s="21">
        <v>41.94</v>
      </c>
    </row>
    <row r="7" spans="2:4" x14ac:dyDescent="0.25">
      <c r="B7" s="21" t="s">
        <v>157</v>
      </c>
      <c r="C7" s="21">
        <v>24.57</v>
      </c>
      <c r="D7" s="21">
        <f>C7*2</f>
        <v>49.14</v>
      </c>
    </row>
    <row r="8" spans="2:4" x14ac:dyDescent="0.25">
      <c r="B8" s="21" t="s">
        <v>158</v>
      </c>
      <c r="C8" s="21">
        <v>24.57</v>
      </c>
      <c r="D8" s="21">
        <f t="shared" ref="D8" si="0">C8*2</f>
        <v>49.14</v>
      </c>
    </row>
    <row r="9" spans="2:4" x14ac:dyDescent="0.25">
      <c r="B9" s="21" t="s">
        <v>159</v>
      </c>
      <c r="C9" s="21">
        <v>24.57</v>
      </c>
      <c r="D9" s="21">
        <v>24.57</v>
      </c>
    </row>
    <row r="10" spans="2:4" x14ac:dyDescent="0.25">
      <c r="B10" s="21" t="s">
        <v>160</v>
      </c>
      <c r="C10" s="21" t="s">
        <v>161</v>
      </c>
      <c r="D10" s="21">
        <v>139.86000000000001</v>
      </c>
    </row>
    <row r="11" spans="2:4" x14ac:dyDescent="0.25">
      <c r="C11" s="208" t="s">
        <v>25</v>
      </c>
      <c r="D11" s="21">
        <f>SUM(D2:D10)</f>
        <v>1908.2700000000004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CCF2E25AEA1447B47E90650ACC9693" ma:contentTypeVersion="14" ma:contentTypeDescription="Create a new document." ma:contentTypeScope="" ma:versionID="399fa081448162324c8c49f5bea281fb">
  <xsd:schema xmlns:xsd="http://www.w3.org/2001/XMLSchema" xmlns:xs="http://www.w3.org/2001/XMLSchema" xmlns:p="http://schemas.microsoft.com/office/2006/metadata/properties" xmlns:ns3="abf347b3-9b81-4487-a8e6-df9e480fc1e9" xmlns:ns4="8571106c-ae68-4583-a25b-1d1ab57ff79d" targetNamespace="http://schemas.microsoft.com/office/2006/metadata/properties" ma:root="true" ma:fieldsID="14c0cc78ee8a6b307f47b06a947aaa68" ns3:_="" ns4:_="">
    <xsd:import namespace="abf347b3-9b81-4487-a8e6-df9e480fc1e9"/>
    <xsd:import namespace="8571106c-ae68-4583-a25b-1d1ab57ff7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47b3-9b81-4487-a8e6-df9e480fc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1106c-ae68-4583-a25b-1d1ab57ff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7A2FC-968B-4FE5-B024-92FEFD723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1E3B1D-D8BA-4EAE-B696-29A5096DD982}">
  <ds:schemaRefs>
    <ds:schemaRef ds:uri="8571106c-ae68-4583-a25b-1d1ab57ff79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bf347b3-9b81-4487-a8e6-df9e480fc1e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2F7729-4162-4DE7-A311-05F140C97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47b3-9b81-4487-a8e6-df9e480fc1e9"/>
    <ds:schemaRef ds:uri="8571106c-ae68-4583-a25b-1d1ab57ff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Results</vt:lpstr>
      <vt:lpstr>Detailed results</vt:lpstr>
      <vt:lpstr>2022 2P2C WPG</vt:lpstr>
      <vt:lpstr>2020 2P2C WPG</vt:lpstr>
      <vt:lpstr>2022 1P1C WPG</vt:lpstr>
      <vt:lpstr>2020 1P1C WPG</vt:lpstr>
      <vt:lpstr>2022 1P WPG</vt:lpstr>
      <vt:lpstr>2020 1P WPG</vt:lpstr>
      <vt:lpstr>2022 2P2C Bran</vt:lpstr>
      <vt:lpstr>2020 2P2C Bran</vt:lpstr>
      <vt:lpstr>2022 1P1C Bran</vt:lpstr>
      <vt:lpstr>2020 1P1C Bran</vt:lpstr>
      <vt:lpstr>2022 1P Bran</vt:lpstr>
      <vt:lpstr>2020 1P Bran</vt:lpstr>
      <vt:lpstr>2022 2P2C Thom</vt:lpstr>
      <vt:lpstr>2020 2P2C Thom</vt:lpstr>
      <vt:lpstr>2022 1P1C Thom</vt:lpstr>
      <vt:lpstr>2020 1P1C Thom</vt:lpstr>
      <vt:lpstr>2022 1P Thom</vt:lpstr>
      <vt:lpstr>2020 1P Thom</vt:lpstr>
      <vt:lpstr>2022Adult education</vt:lpstr>
    </vt:vector>
  </TitlesOfParts>
  <Manager/>
  <Company>UVic Faculty of Law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Richards</dc:creator>
  <cp:keywords/>
  <dc:description/>
  <cp:lastModifiedBy>Jesse</cp:lastModifiedBy>
  <cp:revision/>
  <dcterms:created xsi:type="dcterms:W3CDTF">2008-06-30T20:22:33Z</dcterms:created>
  <dcterms:modified xsi:type="dcterms:W3CDTF">2022-08-24T17:18:44Z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0x010100C4CCF2E25AEA1447B47E90650ACC9693</vt:lpwstr>
  </property>
</Properties>
</file>