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Christine\Dropbox\CCPA 2007\Research\Living Wage\Living Wage 2018\Living wage 2018 for web\"/>
    </mc:Choice>
  </mc:AlternateContent>
  <bookViews>
    <workbookView xWindow="0" yWindow="0" windowWidth="23580" windowHeight="10920" activeTab="1"/>
  </bookViews>
  <sheets>
    <sheet name="LW 2018 Income" sheetId="1" r:id="rId1"/>
    <sheet name="Sheet1" sheetId="17" r:id="rId2"/>
    <sheet name="Family Expenses" sheetId="14" r:id="rId3"/>
    <sheet name="table 2 calculations" sheetId="15" r:id="rId4"/>
    <sheet name="table 4 calculations" sheetId="16" r:id="rId5"/>
    <sheet name="CPI" sheetId="9" r:id="rId6"/>
    <sheet name="MBM" sheetId="10" r:id="rId7"/>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39" i="1" l="1"/>
  <c r="I11" i="9"/>
  <c r="I9" i="9"/>
  <c r="B38" i="1"/>
  <c r="C8" i="16"/>
  <c r="I40" i="16"/>
  <c r="I43" i="16"/>
  <c r="L48" i="16"/>
  <c r="L51" i="16"/>
  <c r="I44" i="16"/>
  <c r="B29" i="14"/>
  <c r="I46" i="16"/>
  <c r="C13" i="16"/>
  <c r="H42" i="16"/>
  <c r="G38" i="1"/>
  <c r="B40" i="1"/>
  <c r="H45" i="16"/>
  <c r="B12" i="1"/>
  <c r="C12" i="1"/>
  <c r="H40" i="16"/>
  <c r="H43" i="16"/>
  <c r="C28" i="16"/>
  <c r="L33" i="16"/>
  <c r="L34" i="16"/>
  <c r="L35" i="16"/>
  <c r="I32" i="16"/>
  <c r="I29" i="16"/>
  <c r="H29" i="16"/>
  <c r="H34" i="16"/>
  <c r="B30" i="14"/>
  <c r="B31" i="14"/>
  <c r="B32" i="14"/>
  <c r="C10" i="1"/>
  <c r="B4" i="14"/>
  <c r="B21" i="14"/>
  <c r="B50" i="14"/>
  <c r="B51" i="14"/>
  <c r="B52" i="14"/>
  <c r="B53" i="14"/>
  <c r="B54" i="14"/>
  <c r="B56" i="14"/>
  <c r="B57" i="14"/>
  <c r="B25" i="14"/>
  <c r="B38" i="14"/>
  <c r="B6" i="14"/>
  <c r="B8" i="1"/>
  <c r="B11" i="14"/>
  <c r="B12" i="14"/>
  <c r="B13" i="14"/>
  <c r="B14" i="14"/>
  <c r="B15" i="14"/>
  <c r="B16" i="14"/>
  <c r="B17" i="14"/>
  <c r="B18" i="14"/>
  <c r="B9" i="1"/>
  <c r="G24" i="1"/>
  <c r="G25" i="1"/>
  <c r="I25" i="1"/>
  <c r="K14" i="15"/>
  <c r="I43" i="15"/>
  <c r="D10" i="15"/>
  <c r="C22" i="1"/>
  <c r="I44" i="15"/>
  <c r="D11" i="15"/>
  <c r="C23" i="1"/>
  <c r="C20" i="15"/>
  <c r="I54" i="15"/>
  <c r="D12" i="15"/>
  <c r="C24" i="1"/>
  <c r="C21" i="1"/>
  <c r="H50" i="16"/>
  <c r="I50" i="16"/>
  <c r="B45" i="1"/>
  <c r="C45" i="1"/>
  <c r="I45" i="15"/>
  <c r="D22" i="1"/>
  <c r="I46" i="15"/>
  <c r="D23" i="1"/>
  <c r="C11" i="15"/>
  <c r="B23" i="1"/>
  <c r="C10" i="15"/>
  <c r="B22" i="1"/>
  <c r="B24" i="1"/>
  <c r="J10" i="15"/>
  <c r="I21" i="1"/>
  <c r="K10" i="15"/>
  <c r="J11" i="15"/>
  <c r="I22" i="1"/>
  <c r="K11" i="15"/>
  <c r="J12" i="15"/>
  <c r="K12" i="15"/>
  <c r="J13" i="15"/>
  <c r="K13" i="15"/>
  <c r="J14" i="15"/>
  <c r="J15" i="15"/>
  <c r="K15" i="15"/>
  <c r="J16" i="15"/>
  <c r="K16" i="15"/>
  <c r="J17" i="15"/>
  <c r="K17" i="15"/>
  <c r="J18" i="15"/>
  <c r="K18" i="15"/>
  <c r="J19" i="15"/>
  <c r="K19" i="15"/>
  <c r="J20" i="15"/>
  <c r="K20" i="15"/>
  <c r="I11" i="15"/>
  <c r="I12" i="15"/>
  <c r="I13" i="15"/>
  <c r="I14" i="15"/>
  <c r="I15" i="15"/>
  <c r="I16" i="15"/>
  <c r="I17" i="15"/>
  <c r="I18" i="15"/>
  <c r="I19" i="15"/>
  <c r="I20" i="15"/>
  <c r="I10" i="15"/>
  <c r="C25" i="15"/>
  <c r="C26" i="15"/>
  <c r="C12" i="15"/>
  <c r="C37" i="1"/>
  <c r="C13" i="1"/>
  <c r="B22" i="14"/>
  <c r="B7" i="1"/>
  <c r="C7" i="1"/>
  <c r="B43" i="14"/>
  <c r="B42" i="14"/>
  <c r="B41" i="14"/>
  <c r="D14" i="10"/>
  <c r="C14" i="1"/>
  <c r="B14" i="1"/>
  <c r="C8" i="1"/>
  <c r="B44" i="14"/>
  <c r="B46" i="14"/>
  <c r="C11" i="1"/>
  <c r="B11" i="1"/>
  <c r="B10" i="1"/>
  <c r="D36" i="1"/>
  <c r="B6" i="1"/>
  <c r="C6" i="1"/>
  <c r="C15" i="1"/>
  <c r="B26" i="14"/>
  <c r="C16" i="1"/>
  <c r="B16" i="1"/>
  <c r="B15" i="1"/>
  <c r="C9" i="1"/>
  <c r="D45" i="1"/>
  <c r="B42" i="1"/>
  <c r="H31" i="16"/>
  <c r="C17" i="1"/>
  <c r="B13" i="1"/>
  <c r="B17" i="1"/>
  <c r="D13" i="1"/>
  <c r="H41" i="16"/>
  <c r="H49" i="16"/>
  <c r="H30" i="16"/>
  <c r="B41" i="1"/>
  <c r="H33" i="16"/>
  <c r="C38" i="1"/>
  <c r="H48" i="16"/>
  <c r="H35" i="16"/>
  <c r="H36" i="16"/>
  <c r="D38" i="1"/>
  <c r="D50" i="1"/>
  <c r="D8" i="16"/>
  <c r="C40" i="1"/>
  <c r="D13" i="16"/>
  <c r="H38" i="16"/>
  <c r="B44" i="1"/>
  <c r="H51" i="16"/>
  <c r="B43" i="1"/>
  <c r="B46" i="1"/>
  <c r="D8" i="1"/>
  <c r="D6" i="1"/>
  <c r="D17" i="1"/>
  <c r="D12" i="1"/>
  <c r="D10" i="1"/>
  <c r="D7" i="1"/>
  <c r="C31" i="1"/>
  <c r="D9" i="1"/>
  <c r="D55" i="1"/>
  <c r="D16" i="1"/>
  <c r="D11" i="1"/>
  <c r="D14" i="1"/>
  <c r="D15" i="1"/>
  <c r="C42" i="1"/>
  <c r="D42" i="1"/>
  <c r="I42" i="16"/>
  <c r="I31" i="16"/>
  <c r="I48" i="16"/>
  <c r="I51" i="16"/>
  <c r="C43" i="1"/>
  <c r="D43" i="1"/>
  <c r="I35" i="16"/>
  <c r="D40" i="1"/>
  <c r="B47" i="1"/>
  <c r="I30" i="16"/>
  <c r="C41" i="1"/>
  <c r="I41" i="16"/>
  <c r="I49" i="16"/>
  <c r="C25" i="1"/>
  <c r="C29" i="16"/>
  <c r="D41" i="1"/>
  <c r="I36" i="16"/>
  <c r="I38" i="16"/>
  <c r="C44" i="1"/>
  <c r="D44" i="1"/>
  <c r="D51" i="1"/>
  <c r="D52" i="1"/>
  <c r="C46" i="1"/>
  <c r="B25" i="1"/>
  <c r="B26" i="1"/>
  <c r="C26" i="1"/>
  <c r="D53" i="1"/>
  <c r="C47" i="1"/>
  <c r="D47" i="1"/>
  <c r="D46" i="1"/>
  <c r="C30" i="1"/>
  <c r="C32" i="1"/>
  <c r="D54" i="1"/>
  <c r="D56" i="1"/>
</calcChain>
</file>

<file path=xl/comments1.xml><?xml version="1.0" encoding="utf-8"?>
<comments xmlns="http://schemas.openxmlformats.org/spreadsheetml/2006/main">
  <authors>
    <author>Bourgeois</author>
  </authors>
  <commentList>
    <comment ref="A21" authorId="0" shapeId="0">
      <text>
        <r>
          <rPr>
            <b/>
            <sz val="9"/>
            <color indexed="81"/>
            <rFont val="Tahoma"/>
            <family val="2"/>
          </rPr>
          <t>Bourgeois:</t>
        </r>
        <r>
          <rPr>
            <sz val="9"/>
            <color indexed="81"/>
            <rFont val="Tahoma"/>
            <family val="2"/>
          </rPr>
          <t xml:space="preserve">
family income way too high
</t>
        </r>
      </text>
    </comment>
    <comment ref="A25" authorId="0" shapeId="0">
      <text>
        <r>
          <rPr>
            <b/>
            <sz val="9"/>
            <color indexed="81"/>
            <rFont val="Tahoma"/>
            <family val="2"/>
          </rPr>
          <t xml:space="preserve">Bourgeois: family income way too high
</t>
        </r>
      </text>
    </comment>
  </commentList>
</comments>
</file>

<file path=xl/comments2.xml><?xml version="1.0" encoding="utf-8"?>
<comments xmlns="http://schemas.openxmlformats.org/spreadsheetml/2006/main">
  <authors>
    <author>Bourgeois</author>
  </authors>
  <commentList>
    <comment ref="H22" authorId="0" shapeId="0">
      <text>
        <r>
          <rPr>
            <b/>
            <sz val="9"/>
            <color indexed="81"/>
            <rFont val="Tahoma"/>
            <family val="2"/>
          </rPr>
          <t>Bourgeois:</t>
        </r>
        <r>
          <rPr>
            <sz val="9"/>
            <color indexed="81"/>
            <rFont val="Tahoma"/>
            <family val="2"/>
          </rPr>
          <t xml:space="preserve">
based on https://www.fin.gc.ca/n17/data/17-103_1-eng.asp
note : the calculation is hard to do within one single formula, so I used the 2 and 7 year old kids - if this changes, then the calculation needs to be ammended
</t>
        </r>
      </text>
    </comment>
    <comment ref="H48" authorId="0" shapeId="0">
      <text>
        <r>
          <rPr>
            <b/>
            <sz val="9"/>
            <color indexed="81"/>
            <rFont val="Tahoma"/>
            <family val="2"/>
          </rPr>
          <t>Bourgeois:</t>
        </r>
        <r>
          <rPr>
            <sz val="9"/>
            <color indexed="81"/>
            <rFont val="Tahoma"/>
            <family val="2"/>
          </rPr>
          <t xml:space="preserve">
based on https://www.canada.ca/content/dam/cra-arc/formspubs/pub/rc4210/rc4210-17e.pdf</t>
        </r>
      </text>
    </comment>
    <comment ref="H69" authorId="0" shapeId="0">
      <text>
        <r>
          <rPr>
            <b/>
            <sz val="9"/>
            <color indexed="81"/>
            <rFont val="Tahoma"/>
            <family val="2"/>
          </rPr>
          <t>Bourgeois:</t>
        </r>
        <r>
          <rPr>
            <sz val="9"/>
            <color indexed="81"/>
            <rFont val="Tahoma"/>
            <family val="2"/>
          </rPr>
          <t xml:space="preserve">
source https://www.canada.ca/en/revenue-agency/services/child-family-benefits/provincial-territorial-programs/information-new-brunswick-harmonized-sales-tax-credit.html#Q5
</t>
        </r>
      </text>
    </comment>
  </commentList>
</comments>
</file>

<file path=xl/comments3.xml><?xml version="1.0" encoding="utf-8"?>
<comments xmlns="http://schemas.openxmlformats.org/spreadsheetml/2006/main">
  <authors>
    <author>Bourgeois</author>
  </authors>
  <commentList>
    <comment ref="C7" authorId="0" shapeId="0">
      <text>
        <r>
          <rPr>
            <b/>
            <sz val="9"/>
            <color indexed="81"/>
            <rFont val="Tahoma"/>
            <family val="2"/>
          </rPr>
          <t>Bourgeois:</t>
        </r>
        <r>
          <rPr>
            <sz val="9"/>
            <color indexed="81"/>
            <rFont val="Tahoma"/>
            <family val="2"/>
          </rPr>
          <t xml:space="preserve">
source https://www.canada.ca/en/revenue-agency/services/tax/businesses/topics/payroll/payroll-deductions-contributions/employment-insurance-ei/ei-premium-rates-maximums.html
</t>
        </r>
      </text>
    </comment>
    <comment ref="M33" authorId="0" shapeId="0">
      <text>
        <r>
          <rPr>
            <b/>
            <sz val="9"/>
            <color indexed="81"/>
            <rFont val="Tahoma"/>
            <family val="2"/>
          </rPr>
          <t>Bourgeois:</t>
        </r>
        <r>
          <rPr>
            <sz val="9"/>
            <color indexed="81"/>
            <rFont val="Tahoma"/>
            <family val="2"/>
          </rPr>
          <t xml:space="preserve">
it is assumed that the parent 2 is taking 2 classes. Taken from family expense</t>
        </r>
      </text>
    </comment>
    <comment ref="I35" authorId="0" shapeId="0">
      <text>
        <r>
          <rPr>
            <b/>
            <sz val="9"/>
            <color indexed="81"/>
            <rFont val="Tahoma"/>
            <family val="2"/>
          </rPr>
          <t>Bourgeois:</t>
        </r>
        <r>
          <rPr>
            <sz val="9"/>
            <color indexed="81"/>
            <rFont val="Tahoma"/>
            <family val="2"/>
          </rPr>
          <t xml:space="preserve">
watch out - the rate in NS is super low - and mostlikely requires 2 income brackets</t>
        </r>
      </text>
    </comment>
    <comment ref="J44" authorId="0" shapeId="0">
      <text>
        <r>
          <rPr>
            <b/>
            <sz val="9"/>
            <color indexed="81"/>
            <rFont val="Tahoma"/>
            <family val="2"/>
          </rPr>
          <t>Bourgeois:</t>
        </r>
        <r>
          <rPr>
            <sz val="9"/>
            <color indexed="81"/>
            <rFont val="Tahoma"/>
            <family val="2"/>
          </rPr>
          <t xml:space="preserve">
Bourgeois:
source: https://www.canada.ca/en/revenue-agency/services/tax/individuals/topics/about-your-tax-return/tax-return/completing-a-tax-return/deductions-credits-expenses/line-323-your-tuition-education-textbook-amounts.html</t>
        </r>
      </text>
    </comment>
    <comment ref="I46" authorId="0" shapeId="0">
      <text>
        <r>
          <rPr>
            <b/>
            <sz val="9"/>
            <color indexed="81"/>
            <rFont val="Tahoma"/>
            <family val="2"/>
          </rPr>
          <t>Bourgeois:</t>
        </r>
        <r>
          <rPr>
            <sz val="9"/>
            <color indexed="81"/>
            <rFont val="Tahoma"/>
            <family val="2"/>
          </rPr>
          <t xml:space="preserve">
gone after this 1/2 years left on the program
</t>
        </r>
      </text>
    </comment>
  </commentList>
</comments>
</file>

<file path=xl/sharedStrings.xml><?xml version="1.0" encoding="utf-8"?>
<sst xmlns="http://schemas.openxmlformats.org/spreadsheetml/2006/main" count="425" uniqueCount="263">
  <si>
    <t>Child Tax</t>
  </si>
  <si>
    <t>Item</t>
  </si>
  <si>
    <t>Monthly</t>
  </si>
  <si>
    <t>Annually</t>
  </si>
  <si>
    <t>% of Total</t>
  </si>
  <si>
    <t>Food</t>
  </si>
  <si>
    <t>Clothing and Footwear</t>
  </si>
  <si>
    <t>Shelter</t>
  </si>
  <si>
    <t>Utilities</t>
  </si>
  <si>
    <t>Transportation</t>
  </si>
  <si>
    <t>Child Care</t>
  </si>
  <si>
    <t>Health Care</t>
  </si>
  <si>
    <t>Contingency/Emergency</t>
  </si>
  <si>
    <t>Parent Education</t>
  </si>
  <si>
    <t>Household Expenses</t>
  </si>
  <si>
    <t>Social Inclusion</t>
  </si>
  <si>
    <t>Total</t>
  </si>
  <si>
    <t>Table II:  Non-Wage Income (Government Transfers)</t>
  </si>
  <si>
    <t>CCB</t>
  </si>
  <si>
    <t>Income</t>
  </si>
  <si>
    <t>NS Child Benefit</t>
  </si>
  <si>
    <t>No CBB at FNI</t>
  </si>
  <si>
    <t>GST credit</t>
  </si>
  <si>
    <t>NS Affordable Living Credit</t>
  </si>
  <si>
    <t>Tuition</t>
  </si>
  <si>
    <t>$120/mth</t>
  </si>
  <si>
    <t>$20/mth text</t>
  </si>
  <si>
    <t>Table III:  Family Income Less Family Expenses</t>
  </si>
  <si>
    <t>Provincial Tuition Credits</t>
  </si>
  <si>
    <t>Available Annual Income</t>
  </si>
  <si>
    <t>Annual Family Expenses</t>
  </si>
  <si>
    <t>$60/month</t>
  </si>
  <si>
    <t>Gap</t>
  </si>
  <si>
    <t>Table IV:  The Living Wage and Government Deductions and Taxes</t>
  </si>
  <si>
    <t>Column1</t>
  </si>
  <si>
    <t>Parent 1</t>
  </si>
  <si>
    <t>Parent 2</t>
  </si>
  <si>
    <t>Hours / Week</t>
  </si>
  <si>
    <t>Wage</t>
  </si>
  <si>
    <t>Employment Income</t>
  </si>
  <si>
    <t xml:space="preserve">Adjustments </t>
  </si>
  <si>
    <t>Net Income</t>
  </si>
  <si>
    <t>EI Premiums</t>
  </si>
  <si>
    <t>CPP Premiums</t>
  </si>
  <si>
    <t>Fed. Income Tax</t>
  </si>
  <si>
    <t>Prov. Income Tax</t>
  </si>
  <si>
    <t>Fed. Refundable Credits</t>
  </si>
  <si>
    <t>After Tax Income</t>
  </si>
  <si>
    <t>Monthly After Tax Inc.</t>
  </si>
  <si>
    <t>Table V:  Family Income less Gov't Deductions and Taxes plus Gov't Transfers</t>
  </si>
  <si>
    <t>Total Annual Income from Employment</t>
  </si>
  <si>
    <t xml:space="preserve">  - EI, CPP, Fed. and Prov. Taxes</t>
  </si>
  <si>
    <t>Equals Family Take Home Pay</t>
  </si>
  <si>
    <t>Equals Total Disposable Family Income</t>
  </si>
  <si>
    <t xml:space="preserve">  - Family Expenses</t>
  </si>
  <si>
    <t>Equals Income less expenses</t>
  </si>
  <si>
    <t>Table 326-0021 Consumer Price Index (CPI), annual (2002=100)(1,2,3,4,5,6,7,9)</t>
  </si>
  <si>
    <t>Survey or program details:</t>
  </si>
  <si>
    <t>Consumer Price Index - 2301</t>
  </si>
  <si>
    <t>Products and product groups (15)</t>
  </si>
  <si>
    <t>Nova Scotia</t>
  </si>
  <si>
    <t>Component</t>
  </si>
  <si>
    <t>Halifax, Nova Scotia</t>
  </si>
  <si>
    <t>Total threshold</t>
  </si>
  <si>
    <t>Clothing</t>
  </si>
  <si>
    <t>Halifax, Nova Scotia [12205]  (11)</t>
  </si>
  <si>
    <t>Footnotes:</t>
  </si>
  <si>
    <t>The Consumer Price Index (CPI) is not a cost-of-living index. The objective behind a cost-of-living index is to measure changes in expenditures necessary for consumers to maintain a constant standard of living. The idea is that consumers would normally switch between products as the price relationship of goods changes. If, for example, consumers get the same satisfaction from drinking tea as they do from coffee, then it is possible to substitute tea for coffee if the price of tea falls relative to the price of coffee. The cheaper of the interchangeable products may be chosen. We could compute a cost-of-living index for an individual if we had complete information about that person's taste and spending habits. To do this for a large number of people, let alone the total population of Canada, is impossible. For this reason, regularly published price indexes are based on the fixed-basket concept rather than the cost-of-living concept.</t>
  </si>
  <si>
    <t>This table replaces CANSIM table 326-0002 which terminated with the release of April 2007 data.</t>
  </si>
  <si>
    <t>Source:</t>
  </si>
  <si>
    <t>Statistics Canada. Table 326-0021 - Consumer Price Index (CPI), annual (2002=100 unless otherwise noted)</t>
  </si>
  <si>
    <t>Geography</t>
  </si>
  <si>
    <t>All-items</t>
  </si>
  <si>
    <t>Private transportation</t>
  </si>
  <si>
    <t>Purchase, leasing and rental of passenger vehicles</t>
  </si>
  <si>
    <t>Operation of passenger vehicles</t>
  </si>
  <si>
    <t>With the introduction of the 1992 basket in January 1995, emphasis was shifted from city data to provincial data. City all-items series were continued since many users had come to rely on this service, but the method of calculation was changed. Shelter indexes are calculated for each city. This recognizes the importance of shelter in the basket, the significant and persistent differences in price movements between cities, and the availability of local data. For the other seven major components, the movement of the provincial counterpart is used except in the cases of Montréal, Toronto, and Vancouver, where a sub-provincial counterpart is used. The major components are aggregated using the city's expenditure pattern to arrive at each city's all-items index.</t>
  </si>
  <si>
    <t>The goods and services that make up the Consumer Price Index (CPI) are organized according to a hierarchical structure with the "all-items CPI" as the top level. Eight major components of goods and services make up the "all-items CPI". They are: "food", "shelter", "household operations, furnishings and equipment", "clothing and footwear", "transportation", "health and personal care", "recreation, education and reading", and "alcoholic beverages and tobacco products". These eight components are broken down into a varying number of sub-groups which are in turn broken down into other sub-groups. Indents are used to identify the components that make up each level of aggregation. For example, the eight major components appear with one indent relative to the "all-items CPI" to show that they are combined to obtain the "all-items CPI". NOTE: Some items are recombined outside the main structure of the CPI to obtain special aggregates such as "all-items CPI excluding food and energy", "energy", "goods", "services", or "fresh fruit and vegetables". They are listed after the components of the main structure of the CPI following the last major component entitled "alcoholic beverages and tobacco products".</t>
  </si>
  <si>
    <t>Survey of Labour and Income Dynamics - 3889</t>
  </si>
  <si>
    <t>Canadian Income Survey - 5200</t>
  </si>
  <si>
    <t>Geography (3)</t>
  </si>
  <si>
    <t>Nova Scotia, rural</t>
  </si>
  <si>
    <t>Other expenses</t>
  </si>
  <si>
    <t>Nova Scotia, population under 30,000</t>
  </si>
  <si>
    <t>Nova Scotia, population 30,000 to 99,999</t>
  </si>
  <si>
    <t>Cape Breton, Nova Scotia</t>
  </si>
  <si>
    <t>Table IIa:  Last Year's Family Income (For Government Transfers)</t>
    <phoneticPr fontId="1" type="noConversion"/>
  </si>
  <si>
    <t>Child Care Expenses</t>
  </si>
  <si>
    <t>Content Insurance</t>
  </si>
  <si>
    <t>Total Monthly</t>
  </si>
  <si>
    <t>NS Power</t>
  </si>
  <si>
    <t>Base Customer Charge</t>
  </si>
  <si>
    <t>Rate/KWh (1100)</t>
  </si>
  <si>
    <t>HST</t>
  </si>
  <si>
    <t>Energy Rebate</t>
  </si>
  <si>
    <t>Market Basket Measure 'Other' Annual</t>
  </si>
  <si>
    <t>Total Annual</t>
  </si>
  <si>
    <t>Cost per unit</t>
  </si>
  <si>
    <t>Summer &amp; March Break (7y/o)</t>
  </si>
  <si>
    <t>9 PD, Dec Break, Nonstat Holidays</t>
  </si>
  <si>
    <t>Child Care Subsidy*</t>
  </si>
  <si>
    <t>*formula unavailable; family may qualify for $1.71/day of care</t>
  </si>
  <si>
    <t>Woman age 31-50</t>
  </si>
  <si>
    <t>Man age 31-50</t>
  </si>
  <si>
    <t>Boy age 7</t>
  </si>
  <si>
    <t>NS Average</t>
  </si>
  <si>
    <t xml:space="preserve">  + CCB, GST, NSCB, NSALTC</t>
  </si>
  <si>
    <t xml:space="preserve"> </t>
  </si>
  <si>
    <t>Table I: Family Expenses--Two Adults and Two Children (age 2 and 7)</t>
  </si>
  <si>
    <t>Girl age 2</t>
  </si>
  <si>
    <t>Toddler Full Time (2y/o)</t>
  </si>
  <si>
    <t>12 monthly bus passes</t>
  </si>
  <si>
    <t>Before/After School (7y/o)</t>
  </si>
  <si>
    <t>One child under 6</t>
  </si>
  <si>
    <t>One child over 6</t>
  </si>
  <si>
    <t>(Accessed: January 25, 2018)</t>
  </si>
  <si>
    <t>Family Expenses 2017</t>
  </si>
  <si>
    <t>Table 206-0093 Market Basket Measure (MBM) thresholds (2011 base) for reference family, by Market Basket Measure region and component, in current dollars and 2016 constant dollars, annual(1,2)</t>
  </si>
  <si>
    <t>last published</t>
  </si>
  <si>
    <t>Statistics Canada. Table 206-0093 - Market Basket Measure (MBM) thresholds (2011 base) for reference family, by Market Basket Measure region and component, in current dollars and 2016 constant dollars, annual</t>
  </si>
  <si>
    <t>(accessed: May 23, 2018)</t>
  </si>
  <si>
    <t>Living Wage Calculation: Antigonish 2018 (based on 2017 data)</t>
  </si>
  <si>
    <t>2017 LW Income</t>
  </si>
  <si>
    <t>Rent (CMHC, Median, Oct 2015)</t>
  </si>
  <si>
    <t>Rent</t>
  </si>
  <si>
    <t>Taxi (2 trips per week)</t>
  </si>
  <si>
    <t>Private Vehicle (MBM 2016, adjusted)</t>
  </si>
  <si>
    <t>2 cell phones (basic, unltd text and talk)</t>
  </si>
  <si>
    <t>Basic Internet</t>
  </si>
  <si>
    <t>Clothing MBM 2016 CPI adjusted</t>
  </si>
  <si>
    <t>Private Health Insurance (not coverd by medicare)</t>
  </si>
  <si>
    <t>Basic health insurance quoted</t>
  </si>
  <si>
    <t>Rural Average NS</t>
  </si>
  <si>
    <t>in this sheet, you can find all the programs values, treshold and rates used in the calculation of the programs.</t>
  </si>
  <si>
    <t>for some program, a division was made explicitely to differenciated between the calculation of the first 6 months and the last 6 months.</t>
  </si>
  <si>
    <t>the formula used to make the calculations are fixed, in the sense that if the calculation process changes, the formula will need to be changed. If the values change (example to adjust for inflation, then simply update the values in the table)</t>
  </si>
  <si>
    <t>If you received an error, you did something wrong. Either entered a bad rate, or the error will specify to what the problem is.</t>
  </si>
  <si>
    <t>Table IIa:  Last Year's Family Income (For Government Transfers)</t>
  </si>
  <si>
    <t>Month</t>
  </si>
  <si>
    <t>Annual</t>
  </si>
  <si>
    <t>Notes</t>
  </si>
  <si>
    <t>this years income</t>
  </si>
  <si>
    <t>CCB (jan-Jun)</t>
  </si>
  <si>
    <t>CCB (jul -dec)</t>
  </si>
  <si>
    <t>General Information</t>
  </si>
  <si>
    <t>number of kids under 18</t>
  </si>
  <si>
    <t>age of kid 1</t>
  </si>
  <si>
    <t>age of kid 2</t>
  </si>
  <si>
    <t xml:space="preserve">cells in </t>
  </si>
  <si>
    <t>need to be possibly updated</t>
  </si>
  <si>
    <t>don’t touch, unless the formula has changed</t>
  </si>
  <si>
    <t>don't touch, they are simply linked</t>
  </si>
  <si>
    <t>Childcare benefit Calculation (CCB)</t>
  </si>
  <si>
    <t>january-june</t>
  </si>
  <si>
    <t>1st treshold</t>
  </si>
  <si>
    <t>2nd treshold</t>
  </si>
  <si>
    <t>max child under 6</t>
  </si>
  <si>
    <t>max child 6 to 17</t>
  </si>
  <si>
    <t>july-dec</t>
  </si>
  <si>
    <r>
      <t xml:space="preserve">reduction rates </t>
    </r>
    <r>
      <rPr>
        <b/>
        <u/>
        <sz val="12"/>
        <color theme="1"/>
        <rFont val="Calibri"/>
        <family val="2"/>
        <scheme val="minor"/>
      </rPr>
      <t>between</t>
    </r>
    <r>
      <rPr>
        <u/>
        <sz val="11"/>
        <color theme="1"/>
        <rFont val="Calibri"/>
        <family val="2"/>
        <scheme val="minor"/>
      </rPr>
      <t xml:space="preserve"> AFNI</t>
    </r>
  </si>
  <si>
    <t>1 child family</t>
  </si>
  <si>
    <t>2 chidren family</t>
  </si>
  <si>
    <t>3 children family</t>
  </si>
  <si>
    <t>4+ children family</t>
  </si>
  <si>
    <r>
      <t xml:space="preserve">plus rates  AFNI </t>
    </r>
    <r>
      <rPr>
        <b/>
        <u/>
        <sz val="12"/>
        <color theme="1"/>
        <rFont val="Calibri"/>
        <family val="2"/>
        <scheme val="minor"/>
      </rPr>
      <t>over</t>
    </r>
  </si>
  <si>
    <r>
      <t xml:space="preserve">CCB </t>
    </r>
    <r>
      <rPr>
        <b/>
        <sz val="12"/>
        <color theme="1"/>
        <rFont val="Calibri"/>
        <family val="2"/>
        <scheme val="minor"/>
      </rPr>
      <t>6 months</t>
    </r>
    <r>
      <rPr>
        <sz val="11"/>
        <color theme="1"/>
        <rFont val="Calibri"/>
        <family val="2"/>
        <scheme val="minor"/>
      </rPr>
      <t xml:space="preserve"> (Jan-June)</t>
    </r>
  </si>
  <si>
    <t>*family specific</t>
  </si>
  <si>
    <r>
      <t xml:space="preserve">CCB </t>
    </r>
    <r>
      <rPr>
        <b/>
        <sz val="12"/>
        <color theme="1"/>
        <rFont val="Calibri"/>
        <family val="2"/>
        <scheme val="minor"/>
      </rPr>
      <t>6 months</t>
    </r>
    <r>
      <rPr>
        <sz val="11"/>
        <color theme="1"/>
        <rFont val="Calibri"/>
        <family val="2"/>
        <scheme val="minor"/>
      </rPr>
      <t xml:space="preserve"> (July-Dec)</t>
    </r>
  </si>
  <si>
    <t>no CCB at FNI (Jan-June)</t>
  </si>
  <si>
    <t>no CCB at FNI (July-Dec)</t>
  </si>
  <si>
    <t>GST Credit</t>
  </si>
  <si>
    <t>basic credit</t>
  </si>
  <si>
    <t>credit for spouce</t>
  </si>
  <si>
    <t>credit for kids</t>
  </si>
  <si>
    <t>family net income treshold</t>
  </si>
  <si>
    <t>rate of net income difference</t>
  </si>
  <si>
    <t>annual credit</t>
  </si>
  <si>
    <t>*link to table 2 in main page</t>
  </si>
  <si>
    <t>CCB (jan- jun)</t>
  </si>
  <si>
    <t>CCB (july - dec)</t>
  </si>
  <si>
    <t>again this felt more organic to simply create a few more tables which could easily be update on there own and then update table 4 on the main sheet automatically.</t>
  </si>
  <si>
    <t>values in bold are used</t>
  </si>
  <si>
    <t xml:space="preserve">Employment Insurance </t>
  </si>
  <si>
    <t xml:space="preserve">Employment Insurance rate </t>
  </si>
  <si>
    <t>*these will change for the next few years</t>
  </si>
  <si>
    <t>EI premiums</t>
  </si>
  <si>
    <t>Canadian Pension Plan</t>
  </si>
  <si>
    <t>CPP rate</t>
  </si>
  <si>
    <t>basic exemption</t>
  </si>
  <si>
    <t>CCP premiums</t>
  </si>
  <si>
    <t>Income tax credits</t>
  </si>
  <si>
    <t>Provincial</t>
  </si>
  <si>
    <t>Federal</t>
  </si>
  <si>
    <t>basic personal ammount</t>
  </si>
  <si>
    <t>spouce equivalence amount</t>
  </si>
  <si>
    <t>age amount</t>
  </si>
  <si>
    <t>disability amount</t>
  </si>
  <si>
    <t>medical expense rate</t>
  </si>
  <si>
    <t>non-refundable tax credit rate</t>
  </si>
  <si>
    <t>canada employment amount</t>
  </si>
  <si>
    <t>treshold amount</t>
  </si>
  <si>
    <t>phase out rate</t>
  </si>
  <si>
    <t>max reduction</t>
  </si>
  <si>
    <t>low income tax deduction</t>
  </si>
  <si>
    <t>parent 2 claimed</t>
  </si>
  <si>
    <t>min range</t>
  </si>
  <si>
    <t>max range</t>
  </si>
  <si>
    <t>rate</t>
  </si>
  <si>
    <t>*income specific, if the income goes above this, it will be wrong</t>
  </si>
  <si>
    <t>federal working income credit</t>
  </si>
  <si>
    <t>base amount</t>
  </si>
  <si>
    <t>WITB rate</t>
  </si>
  <si>
    <t>maximum benefit</t>
  </si>
  <si>
    <t>income to zero</t>
  </si>
  <si>
    <t>base treshold</t>
  </si>
  <si>
    <t>rate for WITB reduction</t>
  </si>
  <si>
    <t>WITB</t>
  </si>
  <si>
    <t>parent 2</t>
  </si>
  <si>
    <t>Provincial income tax rates*</t>
  </si>
  <si>
    <t>Federal income tax rates*</t>
  </si>
  <si>
    <t>federal income tax calculation</t>
  </si>
  <si>
    <t>EI premium</t>
  </si>
  <si>
    <t>CPP premiums</t>
  </si>
  <si>
    <t>Canada employment</t>
  </si>
  <si>
    <t>parent 1</t>
  </si>
  <si>
    <t>*don’t touch, just to show the calculation</t>
  </si>
  <si>
    <t>tuition</t>
  </si>
  <si>
    <t>medical expenses</t>
  </si>
  <si>
    <t>provincial income tax calculation</t>
  </si>
  <si>
    <t>**2 courses: effective 1 jan 2017 : only tuition, no books or other</t>
  </si>
  <si>
    <t xml:space="preserve">Federal Tuition Credits </t>
  </si>
  <si>
    <t>base tax payable</t>
  </si>
  <si>
    <t>non-refundable tax credits</t>
  </si>
  <si>
    <t>refundable tax cretits</t>
  </si>
  <si>
    <t>net federal tax</t>
  </si>
  <si>
    <t>add</t>
  </si>
  <si>
    <t>**</t>
  </si>
  <si>
    <t>low income tax reduction (provincial)</t>
  </si>
  <si>
    <t>net provincial tax</t>
  </si>
  <si>
    <t>refundable medical expense supplement</t>
  </si>
  <si>
    <t>family income too high - did not cal</t>
  </si>
  <si>
    <t>claimable</t>
  </si>
  <si>
    <t>income too high</t>
  </si>
  <si>
    <t>calculated in main sheet</t>
  </si>
  <si>
    <t>NS affordable living credit</t>
  </si>
  <si>
    <t>NS child benefit</t>
  </si>
  <si>
    <t>income too low</t>
  </si>
  <si>
    <t>Annual Food Costs</t>
  </si>
  <si>
    <t>Total Monthly for all Utilities</t>
  </si>
  <si>
    <t>Total Monthly for NS Power</t>
  </si>
  <si>
    <t xml:space="preserve">Food Costs </t>
  </si>
  <si>
    <t>Total Monthly 2015 MSVU data</t>
  </si>
  <si>
    <t>Adjusted Food Costs Monthly 2017</t>
  </si>
  <si>
    <t>Parent Education (2 p/t classes NSCC)</t>
  </si>
  <si>
    <t>*CCB is not included anymore because its not taxable.</t>
  </si>
  <si>
    <t>Ns young child amount</t>
  </si>
  <si>
    <t>NS young amount</t>
  </si>
  <si>
    <t>2 classes</t>
  </si>
  <si>
    <t>*does not exist anymore</t>
  </si>
  <si>
    <t>transit credit</t>
  </si>
  <si>
    <t>Textbook Allowance</t>
  </si>
  <si>
    <t>Student Fees</t>
  </si>
  <si>
    <t>Emergency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</si>
</sst>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44" formatCode="_-&quot;$&quot;* #,##0.00_-;\-&quot;$&quot;* #,##0.00_-;_-&quot;$&quot;* &quot;-&quot;??_-;_-@_-"/>
    <numFmt numFmtId="164" formatCode="&quot;$&quot;#,##0.00_);[Red]\(&quot;$&quot;#,##0.00\)"/>
    <numFmt numFmtId="165" formatCode="&quot;$&quot;#,##0.00"/>
    <numFmt numFmtId="166" formatCode="0.0%"/>
    <numFmt numFmtId="167" formatCode="0.000"/>
    <numFmt numFmtId="168" formatCode="#,##0.000"/>
    <numFmt numFmtId="169" formatCode="0.0"/>
  </numFmts>
  <fonts count="41" x14ac:knownFonts="1">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10"/>
      <name val="Verdana"/>
      <family val="2"/>
    </font>
    <font>
      <b/>
      <sz val="11"/>
      <color indexed="8"/>
      <name val="Calibri"/>
      <family val="2"/>
    </font>
    <font>
      <sz val="8"/>
      <name val="Calibri"/>
      <family val="2"/>
    </font>
    <font>
      <sz val="11"/>
      <name val="Calibri"/>
      <family val="2"/>
    </font>
    <font>
      <sz val="11"/>
      <color rgb="FF006100"/>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b/>
      <sz val="16"/>
      <color indexed="54"/>
      <name val="Calibri"/>
      <family val="2"/>
    </font>
    <font>
      <sz val="10"/>
      <color theme="0"/>
      <name val="Arial"/>
      <family val="2"/>
    </font>
    <font>
      <b/>
      <sz val="11"/>
      <name val="Arial"/>
      <family val="2"/>
    </font>
    <font>
      <sz val="11"/>
      <color theme="1"/>
      <name val="Calibri"/>
      <family val="2"/>
      <scheme val="minor"/>
    </font>
    <font>
      <sz val="10"/>
      <name val="Arial"/>
      <family val="2"/>
    </font>
    <font>
      <b/>
      <sz val="10"/>
      <name val="Arial"/>
      <family val="2"/>
    </font>
    <font>
      <sz val="11"/>
      <name val="Calibri"/>
      <family val="2"/>
    </font>
    <font>
      <sz val="11"/>
      <name val="Calibri"/>
      <family val="2"/>
      <scheme val="minor"/>
    </font>
    <font>
      <b/>
      <sz val="11"/>
      <name val="Calibri"/>
      <family val="2"/>
    </font>
    <font>
      <b/>
      <sz val="11"/>
      <color indexed="8"/>
      <name val="Calibri"/>
      <family val="2"/>
    </font>
    <font>
      <b/>
      <sz val="14"/>
      <color theme="1"/>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b/>
      <sz val="13"/>
      <color theme="1"/>
      <name val="Calibri"/>
      <family val="2"/>
      <scheme val="minor"/>
    </font>
    <font>
      <b/>
      <sz val="10"/>
      <name val="Verdana"/>
      <family val="2"/>
    </font>
    <font>
      <b/>
      <sz val="11"/>
      <color rgb="FF3F3F76"/>
      <name val="Calibri"/>
      <family val="2"/>
      <scheme val="minor"/>
    </font>
    <font>
      <u/>
      <sz val="10"/>
      <name val="Verdana"/>
      <family val="2"/>
    </font>
    <font>
      <u/>
      <sz val="11"/>
      <color theme="1"/>
      <name val="Calibri"/>
      <family val="2"/>
      <scheme val="minor"/>
    </font>
    <font>
      <b/>
      <u/>
      <sz val="12"/>
      <color theme="1"/>
      <name val="Calibri"/>
      <family val="2"/>
      <scheme val="minor"/>
    </font>
    <font>
      <b/>
      <sz val="12"/>
      <color theme="1"/>
      <name val="Calibri"/>
      <family val="2"/>
      <scheme val="minor"/>
    </font>
    <font>
      <b/>
      <sz val="9"/>
      <color indexed="81"/>
      <name val="Tahoma"/>
      <family val="2"/>
    </font>
    <font>
      <sz val="9"/>
      <color indexed="81"/>
      <name val="Tahoma"/>
      <family val="2"/>
    </font>
    <font>
      <b/>
      <sz val="11"/>
      <name val="Calibri"/>
      <family val="2"/>
      <scheme val="minor"/>
    </font>
  </fonts>
  <fills count="7">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14999847407452621"/>
        <bgColor theme="0" tint="-0.14999847407452621"/>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auto="1"/>
      </left>
      <right/>
      <top/>
      <bottom/>
      <diagonal/>
    </border>
    <border>
      <left/>
      <right style="thin">
        <color auto="1"/>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bottom style="double">
        <color rgb="FFFF8001"/>
      </bottom>
      <diagonal/>
    </border>
    <border>
      <left/>
      <right style="thin">
        <color auto="1"/>
      </right>
      <top/>
      <bottom style="double">
        <color rgb="FFFF8001"/>
      </bottom>
      <diagonal/>
    </border>
    <border>
      <left/>
      <right style="medium">
        <color auto="1"/>
      </right>
      <top/>
      <bottom/>
      <diagonal/>
    </border>
    <border>
      <left style="thin">
        <color auto="1"/>
      </left>
      <right/>
      <top style="double">
        <color rgb="FFFF8001"/>
      </top>
      <bottom style="double">
        <color rgb="FFFF8001"/>
      </bottom>
      <diagonal/>
    </border>
    <border>
      <left/>
      <right style="thin">
        <color auto="1"/>
      </right>
      <top style="double">
        <color rgb="FFFF8001"/>
      </top>
      <bottom style="double">
        <color rgb="FFFF8001"/>
      </bottom>
      <diagonal/>
    </border>
    <border>
      <left style="medium">
        <color auto="1"/>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style="medium">
        <color auto="1"/>
      </right>
      <top style="thin">
        <color rgb="FF7F7F7F"/>
      </top>
      <bottom style="thin">
        <color rgb="FF7F7F7F"/>
      </bottom>
      <diagonal/>
    </border>
    <border>
      <left style="thin">
        <color rgb="FF7F7F7F"/>
      </left>
      <right style="medium">
        <color auto="1"/>
      </right>
      <top style="thin">
        <color rgb="FF7F7F7F"/>
      </top>
      <bottom/>
      <diagonal/>
    </border>
    <border>
      <left style="thin">
        <color rgb="FF7F7F7F"/>
      </left>
      <right style="medium">
        <color auto="1"/>
      </right>
      <top style="thin">
        <color auto="1"/>
      </top>
      <bottom style="medium">
        <color auto="1"/>
      </bottom>
      <diagonal/>
    </border>
    <border>
      <left style="medium">
        <color auto="1"/>
      </left>
      <right/>
      <top style="thin">
        <color auto="1"/>
      </top>
      <bottom/>
      <diagonal/>
    </border>
    <border>
      <left style="thin">
        <color rgb="FF7F7F7F"/>
      </left>
      <right style="medium">
        <color auto="1"/>
      </right>
      <top style="thin">
        <color auto="1"/>
      </top>
      <bottom style="thin">
        <color rgb="FF7F7F7F"/>
      </bottom>
      <diagonal/>
    </border>
    <border>
      <left style="thin">
        <color rgb="FF7F7F7F"/>
      </left>
      <right style="medium">
        <color auto="1"/>
      </right>
      <top style="thin">
        <color rgb="FF7F7F7F"/>
      </top>
      <bottom style="medium">
        <color auto="1"/>
      </bottom>
      <diagonal/>
    </border>
    <border>
      <left style="thin">
        <color rgb="FF7F7F7F"/>
      </left>
      <right style="thin">
        <color rgb="FF7F7F7F"/>
      </right>
      <top style="thin">
        <color rgb="FF7F7F7F"/>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double">
        <color rgb="FFFF8001"/>
      </bottom>
      <diagonal/>
    </border>
    <border>
      <left style="medium">
        <color auto="1"/>
      </left>
      <right style="thin">
        <color auto="1"/>
      </right>
      <top style="thin">
        <color auto="1"/>
      </top>
      <bottom style="medium">
        <color auto="1"/>
      </bottom>
      <diagonal/>
    </border>
  </borders>
  <cellStyleXfs count="34">
    <xf numFmtId="0" fontId="0" fillId="0" borderId="0"/>
    <xf numFmtId="44" fontId="1" fillId="0" borderId="0" applyFont="0" applyFill="0" applyBorder="0" applyAlignment="0" applyProtection="0"/>
    <xf numFmtId="0" fontId="9"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9" fontId="1" fillId="0" borderId="0" applyFon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44" fontId="1" fillId="0" borderId="0" applyFont="0" applyFill="0" applyBorder="0" applyAlignment="0" applyProtection="0"/>
    <xf numFmtId="0" fontId="27" fillId="3" borderId="13" applyNumberFormat="0" applyAlignment="0" applyProtection="0"/>
    <xf numFmtId="0" fontId="28" fillId="4" borderId="13" applyNumberFormat="0" applyAlignment="0" applyProtection="0"/>
    <xf numFmtId="0" fontId="29" fillId="0" borderId="14" applyNumberFormat="0" applyFill="0" applyAlignment="0" applyProtection="0"/>
    <xf numFmtId="0" fontId="30" fillId="5" borderId="15" applyNumberFormat="0" applyAlignment="0" applyProtection="0"/>
  </cellStyleXfs>
  <cellXfs count="306">
    <xf numFmtId="0" fontId="0" fillId="0" borderId="0" xfId="0"/>
    <xf numFmtId="0" fontId="2" fillId="0" borderId="0" xfId="0" applyFont="1" applyFill="1"/>
    <xf numFmtId="2" fontId="2" fillId="0" borderId="0" xfId="0" applyNumberFormat="1" applyFont="1" applyFill="1"/>
    <xf numFmtId="0" fontId="3" fillId="0" borderId="0" xfId="0" applyFont="1" applyFill="1"/>
    <xf numFmtId="0" fontId="2" fillId="0" borderId="0" xfId="0"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Border="1" applyAlignment="1">
      <alignment horizontal="right"/>
    </xf>
    <xf numFmtId="0" fontId="0" fillId="0" borderId="0" xfId="0" applyFill="1"/>
    <xf numFmtId="0" fontId="2" fillId="0" borderId="0" xfId="0" applyFont="1" applyFill="1" applyBorder="1" applyAlignment="1">
      <alignment horizontal="right"/>
    </xf>
    <xf numFmtId="0" fontId="2" fillId="0" borderId="1" xfId="0" applyFont="1" applyFill="1" applyBorder="1" applyAlignment="1">
      <alignment horizontal="right"/>
    </xf>
    <xf numFmtId="165" fontId="2" fillId="0" borderId="1" xfId="0" applyNumberFormat="1" applyFont="1" applyFill="1" applyBorder="1" applyAlignment="1">
      <alignment horizontal="right" vertical="center"/>
    </xf>
    <xf numFmtId="0" fontId="2" fillId="0" borderId="1" xfId="0" applyFont="1" applyFill="1" applyBorder="1" applyAlignment="1">
      <alignment horizontal="right" vertical="center"/>
    </xf>
    <xf numFmtId="167" fontId="2" fillId="0" borderId="0" xfId="0" applyNumberFormat="1" applyFont="1" applyFill="1" applyBorder="1" applyAlignment="1">
      <alignment horizontal="right"/>
    </xf>
    <xf numFmtId="0" fontId="2" fillId="0" borderId="0" xfId="0" applyFont="1" applyFill="1" applyBorder="1" applyAlignment="1">
      <alignment horizontal="center" wrapText="1"/>
    </xf>
    <xf numFmtId="165" fontId="2" fillId="0" borderId="1" xfId="0" applyNumberFormat="1" applyFont="1" applyFill="1" applyBorder="1"/>
    <xf numFmtId="0" fontId="2" fillId="0" borderId="0" xfId="0" applyFont="1" applyFill="1" applyBorder="1" applyAlignment="1">
      <alignment horizontal="center" vertical="center" wrapText="1"/>
    </xf>
    <xf numFmtId="167" fontId="2" fillId="0" borderId="0" xfId="0" applyNumberFormat="1" applyFont="1" applyFill="1" applyBorder="1" applyAlignment="1">
      <alignment horizontal="left"/>
    </xf>
    <xf numFmtId="0" fontId="2" fillId="0" borderId="0" xfId="0" applyFont="1" applyFill="1" applyAlignment="1">
      <alignment horizontal="center"/>
    </xf>
    <xf numFmtId="2" fontId="2" fillId="0" borderId="0" xfId="0" applyNumberFormat="1" applyFont="1" applyFill="1" applyBorder="1"/>
    <xf numFmtId="2" fontId="3" fillId="0" borderId="0" xfId="0" applyNumberFormat="1" applyFont="1" applyFill="1" applyBorder="1" applyAlignment="1">
      <alignment horizontal="center"/>
    </xf>
    <xf numFmtId="2" fontId="3" fillId="0" borderId="0" xfId="0" applyNumberFormat="1" applyFont="1" applyFill="1" applyBorder="1"/>
    <xf numFmtId="0" fontId="3" fillId="0" borderId="0" xfId="0" applyFont="1" applyFill="1" applyBorder="1"/>
    <xf numFmtId="0" fontId="2" fillId="0" borderId="0" xfId="0" applyFont="1" applyFill="1" applyBorder="1" applyAlignment="1">
      <alignment horizontal="center"/>
    </xf>
    <xf numFmtId="1" fontId="2" fillId="0" borderId="1" xfId="0" applyNumberFormat="1" applyFont="1" applyFill="1" applyBorder="1"/>
    <xf numFmtId="2" fontId="5" fillId="0" borderId="1" xfId="0" applyNumberFormat="1" applyFont="1" applyBorder="1"/>
    <xf numFmtId="165" fontId="2" fillId="0" borderId="1" xfId="2" applyNumberFormat="1" applyFont="1" applyFill="1" applyBorder="1"/>
    <xf numFmtId="0" fontId="2" fillId="0" borderId="4" xfId="0" applyFont="1" applyFill="1" applyBorder="1" applyAlignment="1">
      <alignment horizontal="left"/>
    </xf>
    <xf numFmtId="2" fontId="11" fillId="0" borderId="0" xfId="4" applyNumberFormat="1" applyFill="1" applyBorder="1" applyAlignment="1">
      <alignment horizontal="left"/>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1" xfId="0" applyFont="1" applyFill="1" applyBorder="1" applyAlignment="1">
      <alignment horizontal="right" vertical="center"/>
    </xf>
    <xf numFmtId="165" fontId="3" fillId="0" borderId="1" xfId="0" applyNumberFormat="1" applyFont="1" applyFill="1" applyBorder="1"/>
    <xf numFmtId="165" fontId="3" fillId="0" borderId="1" xfId="2" applyNumberFormat="1" applyFont="1" applyFill="1" applyBorder="1"/>
    <xf numFmtId="165" fontId="3" fillId="0" borderId="1" xfId="0" applyNumberFormat="1" applyFont="1" applyFill="1" applyBorder="1" applyAlignment="1">
      <alignment horizontal="right"/>
    </xf>
    <xf numFmtId="0" fontId="3" fillId="0" borderId="3" xfId="0" applyFont="1" applyFill="1" applyBorder="1" applyAlignment="1">
      <alignment horizontal="right"/>
    </xf>
    <xf numFmtId="0" fontId="3" fillId="0" borderId="4" xfId="0" applyFont="1" applyFill="1" applyBorder="1" applyAlignment="1">
      <alignment horizontal="right"/>
    </xf>
    <xf numFmtId="3" fontId="0" fillId="0" borderId="0" xfId="0" applyNumberFormat="1"/>
    <xf numFmtId="6" fontId="0" fillId="0" borderId="0" xfId="0" applyNumberFormat="1"/>
    <xf numFmtId="0" fontId="0" fillId="0" borderId="1" xfId="0" applyBorder="1"/>
    <xf numFmtId="165" fontId="0" fillId="0" borderId="0" xfId="0" applyNumberFormat="1"/>
    <xf numFmtId="166" fontId="2" fillId="0" borderId="0" xfId="2" applyNumberFormat="1" applyFont="1" applyFill="1" applyBorder="1" applyAlignment="1">
      <alignment horizontal="center"/>
    </xf>
    <xf numFmtId="165" fontId="0" fillId="0" borderId="1" xfId="0" applyNumberFormat="1" applyBorder="1"/>
    <xf numFmtId="0" fontId="4" fillId="0" borderId="0" xfId="0" applyFont="1" applyFill="1"/>
    <xf numFmtId="0" fontId="0" fillId="0" borderId="0" xfId="0"/>
    <xf numFmtId="0" fontId="13" fillId="0" borderId="0" xfId="0" applyFont="1"/>
    <xf numFmtId="0" fontId="3" fillId="0" borderId="4" xfId="0" applyFont="1" applyFill="1" applyBorder="1" applyAlignment="1">
      <alignment horizontal="center"/>
    </xf>
    <xf numFmtId="0" fontId="0" fillId="0" borderId="0" xfId="0" applyAlignment="1">
      <alignment horizontal="center"/>
    </xf>
    <xf numFmtId="165" fontId="13" fillId="0" borderId="1" xfId="1" applyNumberFormat="1" applyFont="1" applyBorder="1"/>
    <xf numFmtId="165" fontId="0" fillId="0" borderId="1" xfId="1" applyNumberFormat="1" applyFont="1" applyBorder="1"/>
    <xf numFmtId="0" fontId="17" fillId="0" borderId="0" xfId="0" applyFont="1"/>
    <xf numFmtId="0" fontId="3" fillId="0" borderId="4" xfId="0" applyFont="1" applyFill="1" applyBorder="1"/>
    <xf numFmtId="0" fontId="2" fillId="0" borderId="4" xfId="2" applyFont="1" applyFill="1" applyBorder="1"/>
    <xf numFmtId="0" fontId="2" fillId="0" borderId="4" xfId="2" applyFont="1" applyFill="1" applyBorder="1" applyAlignment="1">
      <alignment horizontal="left"/>
    </xf>
    <xf numFmtId="166" fontId="2" fillId="0" borderId="3" xfId="2" applyNumberFormat="1" applyFont="1" applyFill="1" applyBorder="1" applyAlignment="1">
      <alignment horizontal="center"/>
    </xf>
    <xf numFmtId="0" fontId="3" fillId="0" borderId="8" xfId="0" applyFont="1" applyFill="1" applyBorder="1"/>
    <xf numFmtId="2" fontId="3" fillId="0" borderId="9" xfId="0" applyNumberFormat="1"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xf numFmtId="165" fontId="3" fillId="0" borderId="2" xfId="0" applyNumberFormat="1" applyFont="1" applyFill="1" applyBorder="1"/>
    <xf numFmtId="166" fontId="3" fillId="0" borderId="12" xfId="5" applyNumberFormat="1" applyFont="1" applyFill="1" applyBorder="1" applyAlignment="1">
      <alignment horizontal="center"/>
    </xf>
    <xf numFmtId="165" fontId="2" fillId="0" borderId="3" xfId="2" applyNumberFormat="1" applyFont="1" applyFill="1" applyBorder="1"/>
    <xf numFmtId="0" fontId="3" fillId="0" borderId="8" xfId="0" applyFont="1" applyFill="1" applyBorder="1" applyAlignment="1">
      <alignment horizontal="left"/>
    </xf>
    <xf numFmtId="165" fontId="3" fillId="0" borderId="12" xfId="0" applyNumberFormat="1" applyFont="1" applyFill="1" applyBorder="1"/>
    <xf numFmtId="0" fontId="2" fillId="0" borderId="4" xfId="0" applyFont="1" applyFill="1" applyBorder="1"/>
    <xf numFmtId="0" fontId="5" fillId="0" borderId="4" xfId="0" applyFont="1" applyBorder="1"/>
    <xf numFmtId="0" fontId="3" fillId="0" borderId="4" xfId="2" applyFont="1" applyFill="1" applyBorder="1"/>
    <xf numFmtId="0" fontId="2" fillId="0" borderId="3" xfId="0" applyFont="1" applyFill="1" applyBorder="1"/>
    <xf numFmtId="2" fontId="5" fillId="0" borderId="3" xfId="0" applyNumberFormat="1" applyFont="1" applyBorder="1"/>
    <xf numFmtId="165" fontId="3" fillId="0" borderId="3" xfId="2" applyNumberFormat="1" applyFont="1" applyFill="1" applyBorder="1"/>
    <xf numFmtId="165" fontId="2" fillId="0" borderId="3" xfId="0" applyNumberFormat="1" applyFont="1" applyFill="1" applyBorder="1"/>
    <xf numFmtId="0" fontId="3" fillId="0" borderId="8" xfId="0" applyFont="1" applyFill="1" applyBorder="1" applyAlignment="1">
      <alignment horizontal="center"/>
    </xf>
    <xf numFmtId="0" fontId="2" fillId="0" borderId="11" xfId="0" applyFont="1" applyFill="1" applyBorder="1"/>
    <xf numFmtId="165" fontId="2" fillId="0" borderId="2" xfId="0" applyNumberFormat="1" applyFont="1" applyFill="1" applyBorder="1"/>
    <xf numFmtId="165" fontId="2" fillId="0" borderId="12" xfId="0" applyNumberFormat="1" applyFont="1" applyFill="1" applyBorder="1"/>
    <xf numFmtId="2" fontId="3" fillId="0" borderId="0" xfId="0" applyNumberFormat="1" applyFont="1" applyFill="1" applyBorder="1" applyAlignment="1">
      <alignment horizontal="right"/>
    </xf>
    <xf numFmtId="165" fontId="2" fillId="0" borderId="0" xfId="1" applyNumberFormat="1" applyFont="1" applyFill="1" applyAlignment="1">
      <alignment horizontal="left"/>
    </xf>
    <xf numFmtId="165" fontId="2" fillId="0" borderId="0" xfId="0" applyNumberFormat="1" applyFont="1" applyFill="1"/>
    <xf numFmtId="0" fontId="2" fillId="0" borderId="3" xfId="0" applyFont="1" applyFill="1" applyBorder="1" applyAlignment="1">
      <alignment horizontal="left"/>
    </xf>
    <xf numFmtId="0" fontId="11" fillId="0" borderId="0" xfId="4" applyFill="1" applyBorder="1" applyAlignment="1">
      <alignment horizontal="left"/>
    </xf>
    <xf numFmtId="0" fontId="19" fillId="0" borderId="0" xfId="0" applyFont="1"/>
    <xf numFmtId="0" fontId="20" fillId="0" borderId="0" xfId="0" applyFont="1" applyFill="1" applyBorder="1"/>
    <xf numFmtId="0" fontId="20" fillId="0" borderId="1" xfId="0" applyFont="1" applyFill="1" applyBorder="1" applyAlignment="1">
      <alignment horizontal="left"/>
    </xf>
    <xf numFmtId="0" fontId="20" fillId="0" borderId="2" xfId="0" applyFont="1" applyFill="1" applyBorder="1" applyAlignment="1">
      <alignment horizontal="left"/>
    </xf>
    <xf numFmtId="0" fontId="21" fillId="0" borderId="1" xfId="0" applyFont="1" applyFill="1" applyBorder="1" applyAlignment="1">
      <alignment horizontal="left"/>
    </xf>
    <xf numFmtId="2" fontId="20" fillId="0" borderId="1" xfId="0" applyNumberFormat="1" applyFont="1" applyFill="1" applyBorder="1" applyAlignment="1">
      <alignment horizontal="left"/>
    </xf>
    <xf numFmtId="0" fontId="21" fillId="0" borderId="0" xfId="0" applyFont="1" applyFill="1" applyBorder="1" applyAlignment="1">
      <alignment horizontal="left"/>
    </xf>
    <xf numFmtId="0" fontId="23" fillId="0" borderId="1" xfId="0" applyFont="1" applyBorder="1" applyAlignment="1">
      <alignment horizontal="left"/>
    </xf>
    <xf numFmtId="0" fontId="20" fillId="0" borderId="0" xfId="0" applyFont="1" applyFill="1" applyAlignment="1">
      <alignment horizontal="left"/>
    </xf>
    <xf numFmtId="0" fontId="21" fillId="0" borderId="0" xfId="0" applyFont="1" applyFill="1" applyAlignment="1">
      <alignment horizontal="center"/>
    </xf>
    <xf numFmtId="0" fontId="21" fillId="0" borderId="0" xfId="0" applyFont="1" applyFill="1"/>
    <xf numFmtId="0" fontId="21" fillId="0" borderId="0" xfId="0" applyFont="1" applyFill="1" applyAlignment="1">
      <alignment horizontal="left"/>
    </xf>
    <xf numFmtId="0" fontId="19" fillId="0" borderId="0" xfId="0" applyFont="1" applyAlignment="1">
      <alignment horizontal="left"/>
    </xf>
    <xf numFmtId="0" fontId="20" fillId="0" borderId="3" xfId="2" applyFont="1" applyFill="1" applyBorder="1" applyAlignment="1">
      <alignment horizontal="left"/>
    </xf>
    <xf numFmtId="165" fontId="19" fillId="0" borderId="0" xfId="0" applyNumberFormat="1" applyFont="1"/>
    <xf numFmtId="0" fontId="20" fillId="0" borderId="1" xfId="2" applyFont="1" applyFill="1" applyBorder="1"/>
    <xf numFmtId="0" fontId="19" fillId="0" borderId="1" xfId="0" applyFont="1" applyBorder="1" applyAlignment="1">
      <alignment horizontal="left"/>
    </xf>
    <xf numFmtId="0" fontId="20" fillId="0" borderId="0" xfId="0" applyFont="1" applyFill="1"/>
    <xf numFmtId="3" fontId="0" fillId="0" borderId="0" xfId="0" applyNumberFormat="1" applyAlignment="1">
      <alignment wrapText="1"/>
    </xf>
    <xf numFmtId="0" fontId="0" fillId="0" borderId="0" xfId="0" applyFont="1"/>
    <xf numFmtId="165" fontId="2" fillId="0" borderId="1" xfId="2" applyNumberFormat="1" applyFont="1" applyFill="1" applyBorder="1" applyAlignment="1">
      <alignment horizontal="right"/>
    </xf>
    <xf numFmtId="165" fontId="8" fillId="0" borderId="0" xfId="0" applyNumberFormat="1" applyFont="1" applyAlignment="1">
      <alignment horizontal="right"/>
    </xf>
    <xf numFmtId="165" fontId="3" fillId="0" borderId="2" xfId="0" applyNumberFormat="1" applyFont="1" applyFill="1" applyBorder="1" applyAlignment="1">
      <alignment horizontal="right"/>
    </xf>
    <xf numFmtId="165" fontId="2" fillId="0" borderId="0" xfId="1" applyNumberFormat="1" applyFont="1" applyFill="1" applyAlignment="1">
      <alignment horizontal="right"/>
    </xf>
    <xf numFmtId="0" fontId="20" fillId="0" borderId="0" xfId="0" applyFont="1" applyFill="1" applyBorder="1" applyAlignment="1">
      <alignment horizontal="right"/>
    </xf>
    <xf numFmtId="165" fontId="22" fillId="0" borderId="1" xfId="0" applyNumberFormat="1" applyFont="1" applyFill="1" applyBorder="1" applyAlignment="1">
      <alignment horizontal="right"/>
    </xf>
    <xf numFmtId="165" fontId="23" fillId="0" borderId="2" xfId="0" applyNumberFormat="1" applyFont="1" applyFill="1" applyBorder="1" applyAlignment="1">
      <alignment horizontal="right"/>
    </xf>
    <xf numFmtId="165" fontId="24" fillId="0" borderId="1" xfId="0" applyNumberFormat="1" applyFont="1" applyFill="1" applyBorder="1" applyAlignment="1">
      <alignment horizontal="right"/>
    </xf>
    <xf numFmtId="165" fontId="20" fillId="0" borderId="1" xfId="0" applyNumberFormat="1" applyFont="1" applyFill="1" applyBorder="1" applyAlignment="1">
      <alignment horizontal="right" vertical="center"/>
    </xf>
    <xf numFmtId="2" fontId="20" fillId="0" borderId="1" xfId="0" applyNumberFormat="1" applyFont="1" applyFill="1" applyBorder="1" applyAlignment="1">
      <alignment horizontal="right"/>
    </xf>
    <xf numFmtId="165" fontId="21" fillId="0" borderId="1" xfId="0" applyNumberFormat="1" applyFont="1" applyFill="1" applyBorder="1" applyAlignment="1">
      <alignment horizontal="right"/>
    </xf>
    <xf numFmtId="165" fontId="20" fillId="0" borderId="1" xfId="0" applyNumberFormat="1" applyFont="1" applyFill="1" applyBorder="1" applyAlignment="1">
      <alignment horizontal="right"/>
    </xf>
    <xf numFmtId="165" fontId="20" fillId="0" borderId="1" xfId="1" applyNumberFormat="1" applyFont="1" applyFill="1" applyBorder="1" applyAlignment="1">
      <alignment horizontal="right"/>
    </xf>
    <xf numFmtId="0" fontId="20" fillId="0" borderId="0" xfId="0" applyFont="1" applyFill="1" applyAlignment="1">
      <alignment horizontal="right"/>
    </xf>
    <xf numFmtId="165" fontId="20" fillId="0" borderId="1" xfId="2" applyNumberFormat="1" applyFont="1" applyFill="1" applyBorder="1" applyAlignment="1">
      <alignment horizontal="right"/>
    </xf>
    <xf numFmtId="165" fontId="19" fillId="0" borderId="1" xfId="1" applyNumberFormat="1" applyFont="1" applyBorder="1" applyAlignment="1">
      <alignment horizontal="right"/>
    </xf>
    <xf numFmtId="165" fontId="21" fillId="0" borderId="1" xfId="0" applyNumberFormat="1" applyFont="1" applyFill="1" applyBorder="1" applyAlignment="1">
      <alignment horizontal="right" vertical="center"/>
    </xf>
    <xf numFmtId="0" fontId="19" fillId="0" borderId="0" xfId="0" applyFont="1" applyAlignment="1">
      <alignment horizontal="right"/>
    </xf>
    <xf numFmtId="165" fontId="25" fillId="0" borderId="1" xfId="0" applyNumberFormat="1" applyFont="1" applyBorder="1" applyAlignment="1">
      <alignment horizontal="right"/>
    </xf>
    <xf numFmtId="165" fontId="19" fillId="0" borderId="1" xfId="1" applyNumberFormat="1" applyFont="1" applyBorder="1"/>
    <xf numFmtId="17" fontId="19" fillId="0" borderId="0" xfId="0" applyNumberFormat="1" applyFont="1" applyFill="1"/>
    <xf numFmtId="165" fontId="0" fillId="0" borderId="1" xfId="1" applyNumberFormat="1" applyFont="1" applyBorder="1" applyAlignment="1">
      <alignment horizontal="right"/>
    </xf>
    <xf numFmtId="165" fontId="19" fillId="0" borderId="1" xfId="0" applyNumberFormat="1" applyFont="1" applyBorder="1" applyAlignment="1">
      <alignment horizontal="right"/>
    </xf>
    <xf numFmtId="165" fontId="20" fillId="0" borderId="0" xfId="2" applyNumberFormat="1" applyFont="1" applyFill="1" applyBorder="1" applyAlignment="1">
      <alignment horizontal="right"/>
    </xf>
    <xf numFmtId="0" fontId="16" fillId="0" borderId="0" xfId="3" applyFont="1" applyFill="1" applyBorder="1" applyAlignment="1"/>
    <xf numFmtId="0" fontId="2" fillId="0" borderId="1" xfId="0" applyFont="1" applyFill="1" applyBorder="1" applyAlignment="1">
      <alignment horizontal="left"/>
    </xf>
    <xf numFmtId="0" fontId="2" fillId="0" borderId="3" xfId="2" applyFont="1" applyFill="1" applyBorder="1" applyAlignment="1">
      <alignment horizontal="left"/>
    </xf>
    <xf numFmtId="0" fontId="2" fillId="0" borderId="1" xfId="2" applyFont="1" applyFill="1" applyBorder="1" applyAlignment="1">
      <alignment horizontal="left"/>
    </xf>
    <xf numFmtId="0" fontId="0" fillId="0" borderId="1" xfId="0" applyBorder="1" applyAlignment="1">
      <alignment horizontal="right"/>
    </xf>
    <xf numFmtId="0" fontId="13" fillId="0" borderId="1" xfId="0" applyFont="1" applyBorder="1" applyAlignment="1">
      <alignment horizontal="right"/>
    </xf>
    <xf numFmtId="0" fontId="0" fillId="0" borderId="0" xfId="0" applyFont="1" applyFill="1" applyBorder="1"/>
    <xf numFmtId="165" fontId="13" fillId="0" borderId="0" xfId="0" applyNumberFormat="1" applyFont="1"/>
    <xf numFmtId="0" fontId="13" fillId="0" borderId="0" xfId="0" applyFont="1" applyAlignment="1">
      <alignment horizontal="right"/>
    </xf>
    <xf numFmtId="10" fontId="19" fillId="0" borderId="0" xfId="5" applyNumberFormat="1" applyFont="1"/>
    <xf numFmtId="0" fontId="26" fillId="0" borderId="0" xfId="0" applyFont="1"/>
    <xf numFmtId="168" fontId="0" fillId="0" borderId="0" xfId="0" applyNumberFormat="1"/>
    <xf numFmtId="9" fontId="0" fillId="0" borderId="0" xfId="5" applyFont="1" applyAlignment="1">
      <alignment wrapText="1"/>
    </xf>
    <xf numFmtId="9" fontId="0" fillId="0" borderId="0" xfId="0" applyNumberFormat="1"/>
    <xf numFmtId="166" fontId="0" fillId="0" borderId="0" xfId="5" applyNumberFormat="1" applyFont="1" applyAlignment="1">
      <alignment wrapText="1"/>
    </xf>
    <xf numFmtId="0" fontId="3" fillId="0" borderId="1" xfId="0" applyFont="1" applyFill="1" applyBorder="1" applyAlignment="1">
      <alignment horizontal="left"/>
    </xf>
    <xf numFmtId="165" fontId="21" fillId="0" borderId="0" xfId="0" applyNumberFormat="1" applyFont="1" applyFill="1" applyBorder="1" applyAlignment="1">
      <alignment horizontal="right"/>
    </xf>
    <xf numFmtId="164" fontId="20" fillId="0" borderId="1" xfId="0" applyNumberFormat="1" applyFont="1" applyFill="1" applyBorder="1" applyAlignment="1">
      <alignment horizontal="left"/>
    </xf>
    <xf numFmtId="165" fontId="19" fillId="0" borderId="1" xfId="1" applyNumberFormat="1" applyFont="1" applyFill="1" applyBorder="1" applyAlignment="1">
      <alignment horizontal="right"/>
    </xf>
    <xf numFmtId="164" fontId="3" fillId="0" borderId="1" xfId="0" applyNumberFormat="1" applyFont="1" applyFill="1" applyBorder="1" applyAlignment="1">
      <alignment horizontal="left"/>
    </xf>
    <xf numFmtId="164" fontId="2" fillId="0" borderId="1" xfId="0" applyNumberFormat="1" applyFont="1" applyFill="1" applyBorder="1" applyAlignment="1">
      <alignment horizontal="left"/>
    </xf>
    <xf numFmtId="0" fontId="21" fillId="0" borderId="1" xfId="2" applyFont="1" applyFill="1" applyBorder="1" applyAlignment="1">
      <alignment horizontal="left"/>
    </xf>
    <xf numFmtId="0" fontId="2" fillId="0" borderId="8" xfId="2" applyFont="1" applyFill="1" applyBorder="1"/>
    <xf numFmtId="165" fontId="0" fillId="6" borderId="1" xfId="1" applyNumberFormat="1" applyFont="1" applyFill="1" applyBorder="1"/>
    <xf numFmtId="0" fontId="0" fillId="0" borderId="18" xfId="0" applyBorder="1"/>
    <xf numFmtId="165" fontId="13" fillId="6" borderId="1" xfId="1" applyNumberFormat="1" applyFont="1" applyFill="1" applyBorder="1"/>
    <xf numFmtId="2" fontId="31" fillId="0" borderId="0" xfId="4" applyNumberFormat="1" applyFont="1" applyFill="1" applyBorder="1" applyAlignment="1">
      <alignment horizontal="left"/>
    </xf>
    <xf numFmtId="0" fontId="4" fillId="0" borderId="0" xfId="0" applyFont="1"/>
    <xf numFmtId="0" fontId="13" fillId="0" borderId="19" xfId="0" applyFont="1" applyBorder="1"/>
    <xf numFmtId="0" fontId="13" fillId="0" borderId="20" xfId="0" applyFont="1" applyBorder="1"/>
    <xf numFmtId="0" fontId="13" fillId="0" borderId="21" xfId="0" applyFont="1" applyBorder="1"/>
    <xf numFmtId="0" fontId="3" fillId="0" borderId="19" xfId="0" applyFont="1" applyBorder="1"/>
    <xf numFmtId="0" fontId="3" fillId="0" borderId="20" xfId="0" applyFont="1" applyBorder="1" applyAlignment="1">
      <alignment horizontal="center"/>
    </xf>
    <xf numFmtId="0" fontId="3" fillId="0" borderId="21" xfId="0" applyFont="1" applyBorder="1" applyAlignment="1">
      <alignment horizontal="center"/>
    </xf>
    <xf numFmtId="0" fontId="0" fillId="0" borderId="22" xfId="0" applyBorder="1"/>
    <xf numFmtId="0" fontId="0" fillId="0" borderId="25" xfId="0" applyBorder="1"/>
    <xf numFmtId="0" fontId="29" fillId="0" borderId="14" xfId="32"/>
    <xf numFmtId="0" fontId="28" fillId="4" borderId="25" xfId="31" applyBorder="1"/>
    <xf numFmtId="4" fontId="29" fillId="0" borderId="26" xfId="32" applyNumberFormat="1" applyBorder="1"/>
    <xf numFmtId="4" fontId="29" fillId="0" borderId="27" xfId="32" applyNumberFormat="1" applyBorder="1"/>
    <xf numFmtId="4" fontId="29" fillId="0" borderId="23" xfId="32" applyNumberFormat="1" applyBorder="1"/>
    <xf numFmtId="4" fontId="29" fillId="0" borderId="24" xfId="32" applyNumberFormat="1" applyBorder="1"/>
    <xf numFmtId="4" fontId="0" fillId="0" borderId="16" xfId="0" applyNumberFormat="1" applyBorder="1"/>
    <xf numFmtId="4" fontId="0" fillId="0" borderId="17" xfId="0" applyNumberFormat="1" applyBorder="1"/>
    <xf numFmtId="0" fontId="0" fillId="0" borderId="0" xfId="0" applyBorder="1"/>
    <xf numFmtId="0" fontId="0" fillId="0" borderId="29" xfId="0" applyBorder="1"/>
    <xf numFmtId="0" fontId="0" fillId="0" borderId="30" xfId="0" applyBorder="1"/>
    <xf numFmtId="0" fontId="0" fillId="0" borderId="31" xfId="0" applyBorder="1"/>
    <xf numFmtId="0" fontId="27" fillId="3" borderId="32" xfId="30" applyBorder="1"/>
    <xf numFmtId="0" fontId="27" fillId="3" borderId="25" xfId="30" applyBorder="1"/>
    <xf numFmtId="10" fontId="27" fillId="3" borderId="32" xfId="30" applyNumberFormat="1" applyBorder="1"/>
    <xf numFmtId="9" fontId="27" fillId="3" borderId="33" xfId="30" applyNumberFormat="1" applyBorder="1"/>
    <xf numFmtId="0" fontId="28" fillId="4" borderId="34" xfId="31" applyBorder="1"/>
    <xf numFmtId="0" fontId="13" fillId="0" borderId="22" xfId="0" applyFont="1" applyBorder="1"/>
    <xf numFmtId="0" fontId="33" fillId="3" borderId="25" xfId="30" applyFont="1" applyBorder="1"/>
    <xf numFmtId="0" fontId="28" fillId="4" borderId="25" xfId="31" applyFont="1" applyBorder="1"/>
    <xf numFmtId="0" fontId="13" fillId="0" borderId="29" xfId="0" applyFont="1" applyBorder="1"/>
    <xf numFmtId="0" fontId="28" fillId="0" borderId="31" xfId="32" applyFont="1" applyBorder="1"/>
    <xf numFmtId="0" fontId="34" fillId="0" borderId="22" xfId="0" applyFont="1" applyFill="1" applyBorder="1"/>
    <xf numFmtId="0" fontId="5" fillId="0" borderId="22" xfId="0" applyFont="1" applyFill="1" applyBorder="1" applyAlignment="1">
      <alignment horizontal="left" indent="2"/>
    </xf>
    <xf numFmtId="0" fontId="0" fillId="0" borderId="22" xfId="0" applyBorder="1" applyAlignment="1">
      <alignment horizontal="left" indent="2"/>
    </xf>
    <xf numFmtId="0" fontId="35" fillId="0" borderId="22" xfId="0" applyFont="1" applyBorder="1"/>
    <xf numFmtId="10" fontId="0" fillId="0" borderId="25" xfId="0" applyNumberFormat="1" applyBorder="1"/>
    <xf numFmtId="10" fontId="27" fillId="3" borderId="33" xfId="30" applyNumberFormat="1" applyBorder="1"/>
    <xf numFmtId="0" fontId="0" fillId="0" borderId="35" xfId="0" applyFill="1" applyBorder="1" applyAlignment="1">
      <alignment horizontal="left"/>
    </xf>
    <xf numFmtId="4" fontId="28" fillId="4" borderId="36" xfId="31" applyNumberFormat="1" applyBorder="1"/>
    <xf numFmtId="0" fontId="0" fillId="0" borderId="22" xfId="0" applyFill="1" applyBorder="1" applyAlignment="1">
      <alignment horizontal="left"/>
    </xf>
    <xf numFmtId="4" fontId="28" fillId="4" borderId="33" xfId="31" applyNumberFormat="1" applyBorder="1"/>
    <xf numFmtId="4" fontId="28" fillId="4" borderId="32" xfId="31" applyNumberFormat="1" applyBorder="1"/>
    <xf numFmtId="4" fontId="28" fillId="4" borderId="37" xfId="31" applyNumberFormat="1" applyBorder="1"/>
    <xf numFmtId="0" fontId="0" fillId="0" borderId="28" xfId="0" applyBorder="1"/>
    <xf numFmtId="0" fontId="28" fillId="4" borderId="37" xfId="31" applyBorder="1"/>
    <xf numFmtId="0" fontId="0" fillId="0" borderId="0" xfId="0" applyAlignment="1"/>
    <xf numFmtId="0" fontId="32" fillId="0" borderId="19" xfId="0" applyFont="1" applyFill="1" applyBorder="1" applyAlignment="1">
      <alignment horizontal="center"/>
    </xf>
    <xf numFmtId="0" fontId="32" fillId="0" borderId="21" xfId="0" applyFont="1" applyFill="1" applyBorder="1" applyAlignment="1">
      <alignment horizontal="center"/>
    </xf>
    <xf numFmtId="165" fontId="27" fillId="3" borderId="13" xfId="30" applyNumberFormat="1" applyAlignment="1">
      <alignment horizontal="right"/>
    </xf>
    <xf numFmtId="165" fontId="29" fillId="6" borderId="14" xfId="32" applyNumberFormat="1" applyFill="1" applyAlignment="1">
      <alignment horizontal="right"/>
    </xf>
    <xf numFmtId="165" fontId="27" fillId="3" borderId="13" xfId="30" applyNumberFormat="1"/>
    <xf numFmtId="165" fontId="29" fillId="0" borderId="14" xfId="32" applyNumberFormat="1" applyFill="1"/>
    <xf numFmtId="165" fontId="29" fillId="0" borderId="14" xfId="32" applyNumberFormat="1" applyFill="1" applyAlignment="1">
      <alignment horizontal="right"/>
    </xf>
    <xf numFmtId="0" fontId="35" fillId="0" borderId="19" xfId="0" applyFont="1" applyBorder="1"/>
    <xf numFmtId="0" fontId="0" fillId="0" borderId="20" xfId="0" applyBorder="1"/>
    <xf numFmtId="0" fontId="0" fillId="0" borderId="21" xfId="0" applyBorder="1"/>
    <xf numFmtId="10" fontId="33" fillId="3" borderId="13" xfId="30" applyNumberFormat="1" applyFont="1" applyBorder="1"/>
    <xf numFmtId="2" fontId="28" fillId="4" borderId="38" xfId="31" applyNumberFormat="1" applyBorder="1"/>
    <xf numFmtId="0" fontId="33" fillId="3" borderId="13" xfId="30" applyFont="1" applyBorder="1"/>
    <xf numFmtId="0" fontId="0" fillId="0" borderId="29" xfId="0" applyFill="1" applyBorder="1"/>
    <xf numFmtId="0" fontId="28" fillId="4" borderId="38" xfId="31" applyBorder="1"/>
    <xf numFmtId="0" fontId="35" fillId="0" borderId="0" xfId="0" applyFont="1"/>
    <xf numFmtId="0" fontId="33" fillId="3" borderId="13" xfId="30" applyFont="1"/>
    <xf numFmtId="0" fontId="27" fillId="3" borderId="13" xfId="30"/>
    <xf numFmtId="9" fontId="33" fillId="3" borderId="13" xfId="30" applyNumberFormat="1" applyFont="1"/>
    <xf numFmtId="10" fontId="33" fillId="3" borderId="13" xfId="30" applyNumberFormat="1" applyFont="1"/>
    <xf numFmtId="1" fontId="33" fillId="3" borderId="13" xfId="30" applyNumberFormat="1" applyFont="1"/>
    <xf numFmtId="9" fontId="27" fillId="3" borderId="13" xfId="30" applyNumberFormat="1"/>
    <xf numFmtId="0" fontId="0" fillId="0" borderId="0" xfId="0" applyFill="1" applyBorder="1"/>
    <xf numFmtId="0" fontId="28" fillId="4" borderId="13" xfId="31"/>
    <xf numFmtId="10" fontId="27" fillId="3" borderId="13" xfId="30" applyNumberFormat="1"/>
    <xf numFmtId="0" fontId="35" fillId="0" borderId="0" xfId="0" applyFont="1" applyFill="1" applyBorder="1"/>
    <xf numFmtId="6" fontId="0" fillId="0" borderId="4" xfId="0" applyNumberFormat="1" applyBorder="1"/>
    <xf numFmtId="4" fontId="2" fillId="0" borderId="0" xfId="0" applyNumberFormat="1" applyFont="1" applyFill="1" applyBorder="1" applyAlignment="1">
      <alignment horizontal="right"/>
    </xf>
    <xf numFmtId="4" fontId="2" fillId="0" borderId="0" xfId="0" applyNumberFormat="1" applyFont="1" applyFill="1" applyAlignment="1">
      <alignment horizontal="right"/>
    </xf>
    <xf numFmtId="4" fontId="2" fillId="0" borderId="0" xfId="0" applyNumberFormat="1" applyFont="1" applyFill="1"/>
    <xf numFmtId="4" fontId="29" fillId="0" borderId="14" xfId="32" applyNumberFormat="1" applyFill="1" applyAlignment="1">
      <alignment horizontal="right"/>
    </xf>
    <xf numFmtId="165" fontId="29" fillId="0" borderId="14" xfId="32" applyNumberFormat="1" applyFill="1" applyAlignment="1">
      <alignment horizontal="right" vertical="center"/>
    </xf>
    <xf numFmtId="165" fontId="28" fillId="4" borderId="13" xfId="31" applyNumberFormat="1" applyAlignment="1">
      <alignment horizontal="right" vertical="center"/>
    </xf>
    <xf numFmtId="0" fontId="2" fillId="0" borderId="41" xfId="0" applyFont="1" applyFill="1" applyBorder="1" applyAlignment="1">
      <alignment horizontal="right" vertical="center"/>
    </xf>
    <xf numFmtId="165" fontId="29" fillId="0" borderId="42" xfId="32" applyNumberFormat="1" applyFill="1" applyBorder="1" applyAlignment="1">
      <alignment horizontal="right" vertical="center"/>
    </xf>
    <xf numFmtId="0" fontId="3" fillId="0" borderId="43" xfId="0" applyFont="1" applyFill="1" applyBorder="1" applyAlignment="1">
      <alignment horizontal="right" vertical="center"/>
    </xf>
    <xf numFmtId="165" fontId="28" fillId="4" borderId="37" xfId="31" applyNumberFormat="1" applyBorder="1" applyAlignment="1">
      <alignment horizontal="right" vertical="center"/>
    </xf>
    <xf numFmtId="10" fontId="33" fillId="3" borderId="32" xfId="30" applyNumberFormat="1" applyFont="1" applyBorder="1"/>
    <xf numFmtId="0" fontId="13" fillId="0" borderId="0" xfId="0" applyFont="1" applyFill="1" applyBorder="1"/>
    <xf numFmtId="0" fontId="35" fillId="0" borderId="20" xfId="0" applyFont="1" applyBorder="1"/>
    <xf numFmtId="0" fontId="35" fillId="0" borderId="21" xfId="0" applyFont="1" applyBorder="1"/>
    <xf numFmtId="0" fontId="29" fillId="0" borderId="14" xfId="32" applyBorder="1"/>
    <xf numFmtId="0" fontId="29" fillId="0" borderId="42" xfId="32" applyBorder="1"/>
    <xf numFmtId="2" fontId="29" fillId="0" borderId="14" xfId="32" applyNumberFormat="1" applyBorder="1"/>
    <xf numFmtId="2" fontId="29" fillId="0" borderId="42" xfId="32" applyNumberFormat="1" applyBorder="1"/>
    <xf numFmtId="1" fontId="29" fillId="0" borderId="14" xfId="32" applyNumberFormat="1" applyBorder="1"/>
    <xf numFmtId="1" fontId="29" fillId="0" borderId="42" xfId="32" applyNumberFormat="1" applyBorder="1"/>
    <xf numFmtId="165" fontId="29" fillId="0" borderId="42" xfId="32" applyNumberFormat="1" applyBorder="1"/>
    <xf numFmtId="0" fontId="28" fillId="4" borderId="13" xfId="31" applyBorder="1"/>
    <xf numFmtId="0" fontId="0" fillId="0" borderId="22" xfId="0" applyFill="1" applyBorder="1"/>
    <xf numFmtId="2" fontId="28" fillId="4" borderId="13" xfId="31" applyNumberFormat="1" applyBorder="1"/>
    <xf numFmtId="0" fontId="28" fillId="4" borderId="32" xfId="31" applyBorder="1"/>
    <xf numFmtId="0" fontId="13" fillId="0" borderId="29" xfId="0" applyFont="1" applyFill="1" applyBorder="1"/>
    <xf numFmtId="2" fontId="28" fillId="4" borderId="38" xfId="31" applyNumberFormat="1" applyFont="1" applyBorder="1"/>
    <xf numFmtId="2" fontId="28" fillId="4" borderId="37" xfId="31" applyNumberFormat="1" applyFont="1" applyBorder="1"/>
    <xf numFmtId="4" fontId="28" fillId="4" borderId="13" xfId="31" applyNumberFormat="1"/>
    <xf numFmtId="4" fontId="29" fillId="0" borderId="14" xfId="32" applyNumberFormat="1" applyFill="1"/>
    <xf numFmtId="4" fontId="29" fillId="0" borderId="14" xfId="32" applyNumberFormat="1"/>
    <xf numFmtId="165" fontId="3" fillId="0" borderId="0" xfId="0" applyNumberFormat="1" applyFont="1" applyFill="1" applyBorder="1" applyAlignment="1">
      <alignment horizontal="center"/>
    </xf>
    <xf numFmtId="4" fontId="30" fillId="5" borderId="15" xfId="33" applyNumberFormat="1"/>
    <xf numFmtId="0" fontId="0" fillId="0" borderId="0" xfId="0"/>
    <xf numFmtId="165" fontId="13" fillId="0" borderId="1" xfId="1" applyNumberFormat="1" applyFont="1" applyBorder="1" applyAlignment="1">
      <alignment horizontal="right"/>
    </xf>
    <xf numFmtId="0" fontId="3" fillId="0" borderId="0" xfId="0" applyFont="1" applyFill="1" applyBorder="1" applyAlignment="1">
      <alignment horizontal="left"/>
    </xf>
    <xf numFmtId="165" fontId="2" fillId="0" borderId="1" xfId="0" applyNumberFormat="1" applyFont="1" applyFill="1" applyBorder="1" applyAlignment="1">
      <alignment horizontal="right"/>
    </xf>
    <xf numFmtId="165" fontId="24" fillId="0" borderId="0" xfId="0" applyNumberFormat="1" applyFont="1" applyFill="1" applyBorder="1" applyAlignment="1">
      <alignment horizontal="right"/>
    </xf>
    <xf numFmtId="0" fontId="21" fillId="0" borderId="4" xfId="0" applyFont="1" applyFill="1" applyBorder="1" applyAlignment="1">
      <alignment horizontal="center"/>
    </xf>
    <xf numFmtId="165" fontId="23" fillId="0" borderId="1" xfId="0" applyNumberFormat="1" applyFont="1" applyFill="1" applyBorder="1" applyAlignment="1">
      <alignment horizontal="right"/>
    </xf>
    <xf numFmtId="0" fontId="40" fillId="0" borderId="1" xfId="6" applyFont="1" applyFill="1" applyBorder="1" applyAlignment="1">
      <alignment horizontal="left"/>
    </xf>
    <xf numFmtId="0" fontId="19" fillId="0" borderId="0" xfId="0" applyFont="1" applyBorder="1"/>
    <xf numFmtId="169" fontId="0" fillId="0" borderId="0" xfId="0" applyNumberFormat="1"/>
    <xf numFmtId="165" fontId="2" fillId="0" borderId="1" xfId="1" applyNumberFormat="1" applyFont="1" applyFill="1" applyBorder="1" applyAlignment="1">
      <alignment horizontal="right"/>
    </xf>
    <xf numFmtId="0" fontId="0" fillId="0" borderId="0" xfId="0"/>
    <xf numFmtId="0" fontId="0" fillId="0" borderId="0" xfId="0"/>
    <xf numFmtId="0" fontId="0" fillId="0" borderId="0" xfId="0"/>
    <xf numFmtId="0" fontId="16" fillId="0" borderId="0" xfId="3" applyFont="1" applyFill="1" applyBorder="1" applyAlignment="1">
      <alignment horizontal="left"/>
    </xf>
    <xf numFmtId="0" fontId="11" fillId="0" borderId="0" xfId="4" applyFill="1" applyBorder="1" applyAlignment="1">
      <alignment horizontal="left"/>
    </xf>
    <xf numFmtId="0" fontId="13" fillId="0" borderId="3" xfId="0" applyFont="1" applyBorder="1" applyAlignment="1">
      <alignment horizontal="center"/>
    </xf>
    <xf numFmtId="0" fontId="13" fillId="0" borderId="4" xfId="0" applyFont="1" applyBorder="1" applyAlignment="1">
      <alignment horizontal="center"/>
    </xf>
    <xf numFmtId="0" fontId="2" fillId="0" borderId="3" xfId="0" applyFont="1" applyFill="1" applyBorder="1" applyAlignment="1">
      <alignment horizontal="left"/>
    </xf>
    <xf numFmtId="0" fontId="0" fillId="0" borderId="5" xfId="0" applyBorder="1" applyAlignment="1"/>
    <xf numFmtId="0" fontId="0" fillId="0" borderId="4" xfId="0" applyBorder="1" applyAlignment="1"/>
    <xf numFmtId="164" fontId="3" fillId="0" borderId="3" xfId="0" applyNumberFormat="1" applyFont="1" applyFill="1" applyBorder="1" applyAlignment="1">
      <alignment horizontal="center"/>
    </xf>
    <xf numFmtId="164" fontId="3" fillId="0" borderId="4" xfId="0" applyNumberFormat="1" applyFont="1" applyFill="1" applyBorder="1" applyAlignment="1">
      <alignment horizontal="center"/>
    </xf>
    <xf numFmtId="0" fontId="0" fillId="0" borderId="0" xfId="0" applyFont="1" applyAlignment="1">
      <alignment horizontal="left"/>
    </xf>
    <xf numFmtId="0" fontId="19" fillId="0" borderId="0" xfId="0" applyFont="1" applyAlignment="1">
      <alignment horizontal="left"/>
    </xf>
    <xf numFmtId="0" fontId="18" fillId="0" borderId="0" xfId="0" applyFont="1" applyFill="1" applyAlignment="1">
      <alignment horizontal="center"/>
    </xf>
    <xf numFmtId="0" fontId="21" fillId="0" borderId="1" xfId="0" applyFont="1" applyFill="1" applyBorder="1" applyAlignment="1">
      <alignment horizontal="center"/>
    </xf>
    <xf numFmtId="0" fontId="25" fillId="0" borderId="0" xfId="0" applyFont="1" applyBorder="1" applyAlignment="1">
      <alignment horizontal="left"/>
    </xf>
    <xf numFmtId="2" fontId="21" fillId="0" borderId="3" xfId="0" applyNumberFormat="1" applyFont="1" applyFill="1" applyBorder="1" applyAlignment="1">
      <alignment horizontal="left"/>
    </xf>
    <xf numFmtId="2" fontId="21" fillId="0" borderId="4" xfId="0" applyNumberFormat="1" applyFont="1" applyFill="1" applyBorder="1" applyAlignment="1">
      <alignment horizontal="left"/>
    </xf>
    <xf numFmtId="0" fontId="40" fillId="0" borderId="1"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21" fillId="0" borderId="3" xfId="2" applyFont="1" applyFill="1" applyBorder="1" applyAlignment="1">
      <alignment horizontal="center"/>
    </xf>
    <xf numFmtId="0" fontId="21" fillId="0" borderId="4" xfId="2" applyFont="1" applyFill="1" applyBorder="1" applyAlignment="1">
      <alignment horizontal="center"/>
    </xf>
    <xf numFmtId="0" fontId="21" fillId="0" borderId="4" xfId="0" applyFont="1" applyFill="1" applyBorder="1" applyAlignment="1">
      <alignment horizontal="center"/>
    </xf>
    <xf numFmtId="0" fontId="6" fillId="0" borderId="1" xfId="0" applyFont="1" applyBorder="1" applyAlignment="1">
      <alignment horizontal="center"/>
    </xf>
    <xf numFmtId="0" fontId="13" fillId="0" borderId="0" xfId="0" applyFont="1" applyAlignment="1">
      <alignment horizontal="center"/>
    </xf>
    <xf numFmtId="0" fontId="26" fillId="0" borderId="19" xfId="0" applyFont="1" applyBorder="1" applyAlignment="1">
      <alignment horizontal="center"/>
    </xf>
    <xf numFmtId="0" fontId="26" fillId="0" borderId="21" xfId="0" applyFont="1" applyBorder="1" applyAlignment="1">
      <alignment horizontal="center"/>
    </xf>
    <xf numFmtId="0" fontId="13" fillId="0" borderId="19" xfId="0" applyFont="1" applyBorder="1" applyAlignment="1">
      <alignment horizontal="center"/>
    </xf>
    <xf numFmtId="0" fontId="13" fillId="0" borderId="21" xfId="0" applyFont="1" applyBorder="1" applyAlignment="1">
      <alignment horizontal="center"/>
    </xf>
    <xf numFmtId="0" fontId="0" fillId="0" borderId="0" xfId="0"/>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166" fontId="0" fillId="0" borderId="0" xfId="0" applyNumberFormat="1"/>
  </cellXfs>
  <cellStyles count="34">
    <cellStyle name="Calculation" xfId="31" builtinId="22"/>
    <cellStyle name="Check Cell" xfId="33" builtinId="23"/>
    <cellStyle name="Currency" xfId="1" builtinId="4"/>
    <cellStyle name="Currency 2" xfId="29"/>
    <cellStyle name="Followed Hyperlink" xfId="28" builtinId="9" hidden="1"/>
    <cellStyle name="Followed Hyperlink" xfId="26" builtinId="9" hidden="1"/>
    <cellStyle name="Followed Hyperlink" xfId="22" builtinId="9" hidden="1"/>
    <cellStyle name="Followed Hyperlink" xfId="24" builtinId="9" hidden="1"/>
    <cellStyle name="Followed Hyperlink" xfId="10" builtinId="9" hidden="1"/>
    <cellStyle name="Followed Hyperlink" xfId="12" builtinId="9" hidden="1"/>
    <cellStyle name="Followed Hyperlink" xfId="20" builtinId="9" hidden="1"/>
    <cellStyle name="Followed Hyperlink" xfId="14" builtinId="9" hidden="1"/>
    <cellStyle name="Followed Hyperlink" xfId="16" builtinId="9" hidden="1"/>
    <cellStyle name="Followed Hyperlink" xfId="18" builtinId="9" hidden="1"/>
    <cellStyle name="Followed Hyperlink" xfId="8" builtinId="9" hidden="1"/>
    <cellStyle name="Good" xfId="2" builtinId="26"/>
    <cellStyle name="Heading 1" xfId="3" builtinId="16"/>
    <cellStyle name="Heading 2" xfId="4" builtinId="17"/>
    <cellStyle name="Hyperlink" xfId="7" builtinId="8" hidden="1"/>
    <cellStyle name="Hyperlink" xfId="23" builtinId="8" hidden="1"/>
    <cellStyle name="Hyperlink" xfId="25"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9" builtinId="8" hidden="1"/>
    <cellStyle name="Hyperlink" xfId="11" builtinId="8" hidden="1"/>
    <cellStyle name="Hyperlink" xfId="27" builtinId="8" hidden="1"/>
    <cellStyle name="Input" xfId="30" builtinId="20"/>
    <cellStyle name="Linked Cell" xfId="32" builtinId="24"/>
    <cellStyle name="Normal" xfId="0" builtinId="0"/>
    <cellStyle name="Percent" xfId="5" builtinId="5"/>
    <cellStyle name="Warning Text" xfId="6" builtinId="11"/>
  </cellStyles>
  <dxfs count="27">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left style="thin">
          <color auto="1"/>
        </left>
        <right style="thin">
          <color auto="1"/>
        </right>
        <top style="thin">
          <color auto="1"/>
        </top>
        <bottom style="thin">
          <color auto="1"/>
        </bottom>
      </border>
    </dxf>
    <dxf>
      <border outline="0">
        <bottom style="thin">
          <color auto="1"/>
        </bottom>
      </border>
    </dxf>
    <dxf>
      <numFmt numFmtId="165" formatCode="&quot;$&quot;#,##0.00"/>
      <alignment horizontal="right" vertical="bottom" textRotation="0" wrapText="0" indent="0" justifyLastLine="0" shrinkToFit="0" readingOrder="0"/>
    </dxf>
    <dxf>
      <numFmt numFmtId="165" formatCode="&quot;$&quot;#,##0.00"/>
      <alignment horizontal="right" vertical="bottom" textRotation="0" wrapText="0" indent="0" justifyLastLine="0" shrinkToFit="0" readingOrder="0"/>
    </dxf>
    <dxf>
      <numFmt numFmtId="165" formatCode="&quot;$&quot;#,##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00"/>
      <border diagonalUp="0" diagonalDown="0" outline="0">
        <left style="thin">
          <color auto="1"/>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 of Total Living Wage</a:t>
            </a:r>
            <a:r>
              <a:rPr lang="en-US" baseline="0"/>
              <a:t> Budget, Antigonish, 2018</a:t>
            </a:r>
            <a:endParaRPr lang="en-US"/>
          </a:p>
        </c:rich>
      </c:tx>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Sheet1!$B$1</c:f>
              <c:strCache>
                <c:ptCount val="1"/>
                <c:pt idx="0">
                  <c:v>% of Total</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Pt>
            <c:idx val="4"/>
            <c:bubble3D val="0"/>
            <c:spPr>
              <a:solidFill>
                <a:schemeClr val="accent5"/>
              </a:solidFill>
              <a:ln>
                <a:noFill/>
              </a:ln>
              <a:effectLst>
                <a:outerShdw blurRad="63500" sx="102000" sy="102000" algn="ctr" rotWithShape="0">
                  <a:prstClr val="black">
                    <a:alpha val="20000"/>
                  </a:prstClr>
                </a:outerShdw>
              </a:effectLst>
            </c:spPr>
          </c:dPt>
          <c:dPt>
            <c:idx val="5"/>
            <c:bubble3D val="0"/>
            <c:spPr>
              <a:solidFill>
                <a:schemeClr val="accent6"/>
              </a:solidFill>
              <a:ln>
                <a:noFill/>
              </a:ln>
              <a:effectLst>
                <a:outerShdw blurRad="63500" sx="102000" sy="102000" algn="ctr" rotWithShape="0">
                  <a:prstClr val="black">
                    <a:alpha val="20000"/>
                  </a:prstClr>
                </a:outerShdw>
              </a:effectLst>
            </c:spPr>
          </c:dPt>
          <c:dPt>
            <c:idx val="6"/>
            <c:bubble3D val="0"/>
            <c:spPr>
              <a:solidFill>
                <a:schemeClr val="accent1">
                  <a:lumMod val="60000"/>
                </a:schemeClr>
              </a:solidFill>
              <a:ln>
                <a:noFill/>
              </a:ln>
              <a:effectLst>
                <a:outerShdw blurRad="63500" sx="102000" sy="102000" algn="ctr" rotWithShape="0">
                  <a:prstClr val="black">
                    <a:alpha val="20000"/>
                  </a:prstClr>
                </a:outerShdw>
              </a:effectLst>
            </c:spPr>
          </c:dPt>
          <c:dPt>
            <c:idx val="7"/>
            <c:bubble3D val="0"/>
            <c:spPr>
              <a:solidFill>
                <a:schemeClr val="accent2">
                  <a:lumMod val="60000"/>
                </a:schemeClr>
              </a:solidFill>
              <a:ln>
                <a:noFill/>
              </a:ln>
              <a:effectLst>
                <a:outerShdw blurRad="63500" sx="102000" sy="102000" algn="ctr" rotWithShape="0">
                  <a:prstClr val="black">
                    <a:alpha val="20000"/>
                  </a:prstClr>
                </a:outerShdw>
              </a:effectLst>
            </c:spPr>
          </c:dPt>
          <c:dPt>
            <c:idx val="8"/>
            <c:bubble3D val="0"/>
            <c:spPr>
              <a:solidFill>
                <a:schemeClr val="accent3">
                  <a:lumMod val="60000"/>
                </a:schemeClr>
              </a:solidFill>
              <a:ln>
                <a:noFill/>
              </a:ln>
              <a:effectLst>
                <a:outerShdw blurRad="63500" sx="102000" sy="102000" algn="ctr" rotWithShape="0">
                  <a:prstClr val="black">
                    <a:alpha val="20000"/>
                  </a:prstClr>
                </a:outerShdw>
              </a:effectLst>
            </c:spPr>
          </c:dPt>
          <c:dPt>
            <c:idx val="9"/>
            <c:bubble3D val="0"/>
            <c:spPr>
              <a:solidFill>
                <a:schemeClr val="accent4">
                  <a:lumMod val="60000"/>
                </a:schemeClr>
              </a:solidFill>
              <a:ln>
                <a:noFill/>
              </a:ln>
              <a:effectLst>
                <a:outerShdw blurRad="63500" sx="102000" sy="102000" algn="ctr" rotWithShape="0">
                  <a:prstClr val="black">
                    <a:alpha val="20000"/>
                  </a:prstClr>
                </a:outerShdw>
              </a:effectLst>
            </c:spPr>
          </c:dPt>
          <c:dPt>
            <c:idx val="10"/>
            <c:bubble3D val="0"/>
            <c:spPr>
              <a:solidFill>
                <a:schemeClr val="accent5">
                  <a:lumMod val="60000"/>
                </a:schemeClr>
              </a:solidFill>
              <a:ln>
                <a:noFill/>
              </a:ln>
              <a:effectLst>
                <a:outerShdw blurRad="63500" sx="102000" sy="102000" algn="ctr" rotWithShape="0">
                  <a:prstClr val="black">
                    <a:alpha val="20000"/>
                  </a:prstClr>
                </a:outerShdw>
              </a:effectLst>
            </c:spPr>
          </c:dPt>
          <c:dLbls>
            <c:dLbl>
              <c:idx val="0"/>
              <c:layout>
                <c:manualLayout>
                  <c:x val="4.681677556401518E-2"/>
                  <c:y val="2.322491025669145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showLegendKey val="0"/>
              <c:showVal val="0"/>
              <c:showCatName val="1"/>
              <c:showSerName val="0"/>
              <c:showPercent val="1"/>
              <c:showBubbleSize val="0"/>
            </c:dLbl>
            <c:dLbl>
              <c:idx val="2"/>
              <c:layout>
                <c:manualLayout>
                  <c:x val="3.6903899592278536E-2"/>
                  <c:y val="-3.9269478501816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showLegendKey val="0"/>
              <c:showVal val="0"/>
              <c:showCatName val="1"/>
              <c:showSerName val="0"/>
              <c:showPercent val="1"/>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showLegendKey val="0"/>
              <c:showVal val="0"/>
              <c:showCatName val="1"/>
              <c:showSerName val="0"/>
              <c:showPercent val="1"/>
              <c:showBubbleSize val="0"/>
            </c:dLbl>
            <c:dLbl>
              <c:idx val="5"/>
              <c:layout>
                <c:manualLayout>
                  <c:x val="-5.8311414943257603E-2"/>
                  <c:y val="-4.3182067422630664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Child</a:t>
                    </a:r>
                    <a:r>
                      <a:rPr lang="en-US" baseline="0"/>
                      <a:t> Care</a:t>
                    </a:r>
                  </a:p>
                  <a:p>
                    <a:pPr>
                      <a:defRPr/>
                    </a:pPr>
                    <a:fld id="{D9BED423-BE44-4A86-9E2A-C12590FADAED}" type="PERCENTAGE">
                      <a:rPr lang="en-US" baseline="0"/>
                      <a:pPr>
                        <a:defRPr/>
                      </a:pPr>
                      <a:t>[PERCENTAGE]</a:t>
                    </a:fld>
                    <a:endParaRPr lang="en-CA"/>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3340798695344971"/>
                      <c:h val="0.10180129990714949"/>
                    </c:manualLayout>
                  </c15:layout>
                  <c15:dlblFieldTable/>
                  <c15:showDataLabelsRange val="0"/>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showLegendKey val="0"/>
              <c:showVal val="0"/>
              <c:showCatName val="1"/>
              <c:showSerName val="0"/>
              <c:showPercent val="1"/>
              <c:showBubbleSize val="0"/>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showLegendKey val="0"/>
              <c:showVal val="0"/>
              <c:showCatName val="1"/>
              <c:showSerName val="0"/>
              <c:showPercent val="1"/>
              <c:showBubbleSize val="0"/>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showLegendKey val="0"/>
              <c:showVal val="0"/>
              <c:showCatName val="1"/>
              <c:showSerName val="0"/>
              <c:showPercent val="1"/>
              <c:showBubbleSize val="0"/>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n-US"/>
                </a:p>
              </c:txPr>
              <c:showLegendKey val="0"/>
              <c:showVal val="0"/>
              <c:showCatName val="1"/>
              <c:showSerName val="0"/>
              <c:showPercent val="1"/>
              <c:showBubbleSize val="0"/>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n-US"/>
                </a:p>
              </c:txPr>
              <c:showLegendKey val="0"/>
              <c:showVal val="0"/>
              <c:showCatName val="1"/>
              <c:showSerName val="0"/>
              <c:showPercent val="1"/>
              <c:showBubbleSize val="0"/>
            </c:dLbl>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Sheet1!$A$2:$A$12</c:f>
              <c:strCache>
                <c:ptCount val="11"/>
                <c:pt idx="0">
                  <c:v>Food</c:v>
                </c:pt>
                <c:pt idx="1">
                  <c:v>Clothing and Footwear</c:v>
                </c:pt>
                <c:pt idx="2">
                  <c:v>Shelter</c:v>
                </c:pt>
                <c:pt idx="3">
                  <c:v>Utilities</c:v>
                </c:pt>
                <c:pt idx="4">
                  <c:v>Transportation</c:v>
                </c:pt>
                <c:pt idx="5">
                  <c:v>Child Care</c:v>
                </c:pt>
                <c:pt idx="6">
                  <c:v>Health Care</c:v>
                </c:pt>
                <c:pt idx="7">
                  <c:v>Emergency</c:v>
                </c:pt>
                <c:pt idx="8">
                  <c:v>Parent Education</c:v>
                </c:pt>
                <c:pt idx="9">
                  <c:v>Household Expenses</c:v>
                </c:pt>
                <c:pt idx="10">
                  <c:v>Social Inclusion</c:v>
                </c:pt>
              </c:strCache>
            </c:strRef>
          </c:cat>
          <c:val>
            <c:numRef>
              <c:f>Sheet1!$B$2:$B$12</c:f>
              <c:numCache>
                <c:formatCode>0.0%</c:formatCode>
                <c:ptCount val="11"/>
                <c:pt idx="0">
                  <c:v>0.16148595552291917</c:v>
                </c:pt>
                <c:pt idx="1">
                  <c:v>2.9180258446603779E-2</c:v>
                </c:pt>
                <c:pt idx="2">
                  <c:v>0.21610010285258116</c:v>
                </c:pt>
                <c:pt idx="3">
                  <c:v>5.8521349327749973E-2</c:v>
                </c:pt>
                <c:pt idx="4">
                  <c:v>0.10037431537454244</c:v>
                </c:pt>
                <c:pt idx="5">
                  <c:v>0.2035952062422377</c:v>
                </c:pt>
                <c:pt idx="6">
                  <c:v>3.0667909005628418E-2</c:v>
                </c:pt>
                <c:pt idx="7">
                  <c:v>3.8534147340870607E-2</c:v>
                </c:pt>
                <c:pt idx="8">
                  <c:v>1.7778430553846338E-2</c:v>
                </c:pt>
                <c:pt idx="9">
                  <c:v>7.1881162666510137E-2</c:v>
                </c:pt>
                <c:pt idx="10">
                  <c:v>7.1881162666510137E-2</c:v>
                </c:pt>
              </c:numCache>
            </c:numRef>
          </c:val>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276225</xdr:colOff>
      <xdr:row>2</xdr:row>
      <xdr:rowOff>57149</xdr:rowOff>
    </xdr:from>
    <xdr:to>
      <xdr:col>15</xdr:col>
      <xdr:colOff>142874</xdr:colOff>
      <xdr:row>20</xdr:row>
      <xdr:rowOff>47624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Table2" displayName="Table2" ref="F20:I31" totalsRowShown="0" dataDxfId="26" tableBorderDxfId="25" dataCellStyle="Currency">
  <autoFilter ref="F20:I31"/>
  <tableColumns count="4">
    <tableColumn id="1" name="2017 LW Income" dataDxfId="24" dataCellStyle="Currency"/>
    <tableColumn id="2" name="Parent 1" dataDxfId="23" dataCellStyle="Input"/>
    <tableColumn id="3" name="Parent 2" dataDxfId="22" dataCellStyle="Input"/>
    <tableColumn id="4" name="Total" dataDxfId="21" dataCellStyle="Input"/>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5:D17" totalsRowShown="0" headerRowBorderDxfId="20" tableBorderDxfId="19">
  <autoFilter ref="A5:D17"/>
  <tableColumns count="4">
    <tableColumn id="1" name="Item" dataDxfId="18" dataCellStyle="Good"/>
    <tableColumn id="2" name="Monthly" dataDxfId="17" dataCellStyle="Good"/>
    <tableColumn id="3" name="Annually" dataDxfId="16" dataCellStyle="Good"/>
    <tableColumn id="4" name="% of Total" dataDxfId="15" dataCellStyle="Good"/>
  </tableColumns>
  <tableStyleInfo name="TableStyleLight1" showFirstColumn="0" showLastColumn="0" showRowStripes="1" showColumnStripes="0"/>
</table>
</file>

<file path=xl/tables/table3.xml><?xml version="1.0" encoding="utf-8"?>
<table xmlns="http://schemas.openxmlformats.org/spreadsheetml/2006/main" id="4" name="Table4" displayName="Table4" ref="A20:D26" totalsRowShown="0" headerRowBorderDxfId="14" tableBorderDxfId="13" totalsRowBorderDxfId="12">
  <autoFilter ref="A20:D26"/>
  <tableColumns count="4">
    <tableColumn id="1" name="Income" dataDxfId="11" dataCellStyle="Good"/>
    <tableColumn id="2" name="Monthly" dataDxfId="10" dataCellStyle="Good"/>
    <tableColumn id="3" name="Annually" dataDxfId="9" dataCellStyle="Good"/>
    <tableColumn id="4" name="No CBB at FNI" dataDxfId="8">
      <calculatedColumnFormula>'table 2 calculations'!I44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5" name="Table5" displayName="Table5" ref="A35:D47" totalsRowShown="0" headerRowDxfId="7" headerRowBorderDxfId="6" tableBorderDxfId="5" totalsRowBorderDxfId="4">
  <autoFilter ref="A35:D47"/>
  <tableColumns count="4">
    <tableColumn id="1" name="Column1" dataDxfId="3"/>
    <tableColumn id="2" name="Parent 1" dataDxfId="2"/>
    <tableColumn id="3" name="Parent 2" dataDxfId="1"/>
    <tableColumn id="4" name="Total" dataDxfId="0">
      <calculatedColumnFormula>B36+C36</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1.vml"/><Relationship Id="rId6" Type="http://schemas.openxmlformats.org/officeDocument/2006/relationships/comments" Target="../comments1.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workbookViewId="0">
      <selection activeCell="A5" sqref="A5:D17"/>
    </sheetView>
  </sheetViews>
  <sheetFormatPr defaultColWidth="8.85546875" defaultRowHeight="15" x14ac:dyDescent="0.25"/>
  <cols>
    <col min="1" max="1" width="23.85546875" customWidth="1"/>
    <col min="2" max="2" width="13.42578125" customWidth="1"/>
    <col min="3" max="3" width="11.85546875" customWidth="1"/>
    <col min="4" max="4" width="13" customWidth="1"/>
    <col min="5" max="5" width="28.42578125" customWidth="1"/>
    <col min="6" max="6" width="20.42578125" customWidth="1"/>
    <col min="7" max="7" width="20.28515625" customWidth="1"/>
    <col min="8" max="8" width="13.42578125" customWidth="1"/>
    <col min="9" max="9" width="22.140625" bestFit="1" customWidth="1"/>
    <col min="10" max="10" width="13.140625" customWidth="1"/>
    <col min="11" max="11" width="13.28515625" customWidth="1"/>
    <col min="12" max="12" width="19.140625" customWidth="1"/>
    <col min="13" max="13" width="11" customWidth="1"/>
    <col min="14" max="14" width="11.140625" customWidth="1"/>
    <col min="15" max="15" width="14.42578125" customWidth="1"/>
    <col min="16" max="16" width="10.42578125" customWidth="1"/>
    <col min="17" max="17" width="13.140625" customWidth="1"/>
    <col min="18" max="18" width="12" bestFit="1" customWidth="1"/>
    <col min="19" max="19" width="10.42578125" customWidth="1"/>
  </cols>
  <sheetData>
    <row r="1" spans="1:16" ht="21" x14ac:dyDescent="0.35">
      <c r="A1" s="272" t="s">
        <v>121</v>
      </c>
      <c r="B1" s="272"/>
      <c r="C1" s="272"/>
      <c r="D1" s="272"/>
      <c r="E1" s="272"/>
      <c r="F1" s="125"/>
      <c r="G1" s="125"/>
      <c r="H1" s="43"/>
      <c r="I1" s="43"/>
      <c r="J1" s="1"/>
      <c r="K1" s="1"/>
      <c r="L1" s="1"/>
      <c r="M1" s="1"/>
      <c r="N1" s="1"/>
      <c r="O1" s="1"/>
      <c r="P1" s="44"/>
    </row>
    <row r="2" spans="1:16" ht="17.25" x14ac:dyDescent="0.3">
      <c r="A2" s="273"/>
      <c r="B2" s="273"/>
      <c r="C2" s="1"/>
      <c r="D2" s="1"/>
      <c r="E2" s="1"/>
      <c r="F2" s="44"/>
      <c r="G2" s="44"/>
      <c r="H2" s="1"/>
      <c r="I2" s="1"/>
      <c r="J2" s="1"/>
      <c r="K2" s="1"/>
      <c r="L2" s="1"/>
      <c r="M2" s="1"/>
      <c r="N2" s="1"/>
      <c r="O2" s="1"/>
      <c r="P2" s="44"/>
    </row>
    <row r="3" spans="1:16" ht="18.75" x14ac:dyDescent="0.3">
      <c r="A3" s="135"/>
      <c r="B3" s="2"/>
      <c r="C3" s="3"/>
      <c r="D3" s="1"/>
      <c r="E3" s="4"/>
      <c r="F3" s="44"/>
      <c r="G3" s="44"/>
      <c r="H3" s="4"/>
      <c r="I3" s="5"/>
      <c r="J3" s="1"/>
      <c r="K3" s="6"/>
      <c r="L3" s="3"/>
      <c r="M3" s="3"/>
      <c r="N3" s="3"/>
      <c r="O3" s="3"/>
      <c r="P3" s="44"/>
    </row>
    <row r="4" spans="1:16" ht="17.25" x14ac:dyDescent="0.3">
      <c r="A4" s="28" t="s">
        <v>108</v>
      </c>
      <c r="B4" s="28"/>
      <c r="C4" s="28"/>
      <c r="D4" s="28"/>
      <c r="E4" s="4"/>
      <c r="F4" s="44"/>
      <c r="G4" s="44"/>
      <c r="H4" s="4"/>
      <c r="I4" s="44"/>
      <c r="J4" s="44"/>
      <c r="K4" s="44"/>
      <c r="L4" s="44"/>
      <c r="M4" s="44"/>
      <c r="N4" s="44"/>
      <c r="O4" s="3"/>
      <c r="P4" s="44"/>
    </row>
    <row r="5" spans="1:16" x14ac:dyDescent="0.25">
      <c r="A5" s="55" t="s">
        <v>1</v>
      </c>
      <c r="B5" s="56" t="s">
        <v>2</v>
      </c>
      <c r="C5" s="57" t="s">
        <v>3</v>
      </c>
      <c r="D5" s="58" t="s">
        <v>4</v>
      </c>
      <c r="E5" s="7"/>
      <c r="J5" s="44"/>
      <c r="K5" s="44"/>
      <c r="L5" s="44"/>
      <c r="M5" s="44"/>
      <c r="N5" s="44"/>
      <c r="O5" s="44"/>
      <c r="P5" s="44"/>
    </row>
    <row r="6" spans="1:16" x14ac:dyDescent="0.25">
      <c r="A6" s="52" t="s">
        <v>5</v>
      </c>
      <c r="B6" s="101">
        <f>'Family Expenses'!B56</f>
        <v>867.82898452084885</v>
      </c>
      <c r="C6" s="101">
        <f>B6*12</f>
        <v>10413.947814250187</v>
      </c>
      <c r="D6" s="54">
        <f>C6/C17</f>
        <v>0.16148595552291917</v>
      </c>
      <c r="E6" s="9"/>
      <c r="J6" s="44"/>
      <c r="K6" s="44"/>
      <c r="L6" s="44"/>
      <c r="M6" s="44"/>
      <c r="N6" s="44"/>
      <c r="O6" s="44"/>
      <c r="P6" s="40"/>
    </row>
    <row r="7" spans="1:16" x14ac:dyDescent="0.25">
      <c r="A7" s="53" t="s">
        <v>6</v>
      </c>
      <c r="B7" s="101">
        <f>'Family Expenses'!B22</f>
        <v>156.81533402561442</v>
      </c>
      <c r="C7" s="104">
        <f>Table3[[#This Row],[Monthly]]*12</f>
        <v>1881.7840083073729</v>
      </c>
      <c r="D7" s="54">
        <f>C7/C17</f>
        <v>2.9180258446603779E-2</v>
      </c>
      <c r="E7" s="9"/>
      <c r="J7" s="44"/>
      <c r="K7" s="44"/>
      <c r="P7" s="40"/>
    </row>
    <row r="8" spans="1:16" x14ac:dyDescent="0.25">
      <c r="A8" s="52" t="s">
        <v>7</v>
      </c>
      <c r="B8" s="101">
        <f>'Family Expenses'!B6</f>
        <v>1161.3265822784811</v>
      </c>
      <c r="C8" s="101">
        <f>B8*12</f>
        <v>13935.918987341773</v>
      </c>
      <c r="D8" s="54">
        <f>C8/C17</f>
        <v>0.21610010285258116</v>
      </c>
      <c r="E8" s="13"/>
      <c r="J8" s="44"/>
      <c r="K8" s="44"/>
      <c r="P8" s="44"/>
    </row>
    <row r="9" spans="1:16" x14ac:dyDescent="0.25">
      <c r="A9" s="52" t="s">
        <v>8</v>
      </c>
      <c r="B9" s="101">
        <f>'Family Expenses'!B18</f>
        <v>314.49498499999999</v>
      </c>
      <c r="C9" s="101">
        <f>B9*12</f>
        <v>3773.9398199999996</v>
      </c>
      <c r="D9" s="54">
        <f>C9/C17</f>
        <v>5.8521349327749973E-2</v>
      </c>
      <c r="E9" s="14"/>
      <c r="J9" s="44"/>
      <c r="K9" s="44"/>
      <c r="P9" s="44"/>
    </row>
    <row r="10" spans="1:16" x14ac:dyDescent="0.25">
      <c r="A10" s="52" t="s">
        <v>9</v>
      </c>
      <c r="B10" s="101">
        <f>C10/12</f>
        <v>539.41372115856655</v>
      </c>
      <c r="C10" s="101">
        <f>'Family Expenses'!B32</f>
        <v>6472.964653902799</v>
      </c>
      <c r="D10" s="54">
        <f>C10/C17</f>
        <v>0.10037431537454244</v>
      </c>
      <c r="E10" s="16"/>
      <c r="J10" s="44"/>
      <c r="K10" s="44"/>
      <c r="M10" s="44"/>
      <c r="P10" s="44"/>
    </row>
    <row r="11" spans="1:16" x14ac:dyDescent="0.25">
      <c r="A11" s="52" t="s">
        <v>10</v>
      </c>
      <c r="B11" s="101">
        <f>C11/12</f>
        <v>1094.125</v>
      </c>
      <c r="C11" s="101">
        <f>'Family Expenses'!B46</f>
        <v>13129.5</v>
      </c>
      <c r="D11" s="54">
        <f>C11/C17</f>
        <v>0.2035952062422377</v>
      </c>
      <c r="E11" s="17"/>
      <c r="J11" s="44"/>
      <c r="K11" s="44"/>
      <c r="M11" s="44"/>
      <c r="P11" s="44"/>
    </row>
    <row r="12" spans="1:16" x14ac:dyDescent="0.25">
      <c r="A12" s="52" t="s">
        <v>11</v>
      </c>
      <c r="B12" s="101">
        <f>'Family Expenses'!B60</f>
        <v>164.81</v>
      </c>
      <c r="C12" s="101">
        <f>B12*12</f>
        <v>1977.72</v>
      </c>
      <c r="D12" s="54">
        <f>C12/C17</f>
        <v>3.0667909005628418E-2</v>
      </c>
      <c r="E12" s="17"/>
      <c r="J12" s="44"/>
      <c r="K12" s="44"/>
      <c r="M12" s="44"/>
      <c r="P12" s="44"/>
    </row>
    <row r="13" spans="1:16" x14ac:dyDescent="0.25">
      <c r="A13" s="52" t="s">
        <v>12</v>
      </c>
      <c r="B13" s="101">
        <f>C13/12</f>
        <v>207.08333333333334</v>
      </c>
      <c r="C13" s="101">
        <f>(C36*C37)*2+(B36*B37)*2</f>
        <v>2485</v>
      </c>
      <c r="D13" s="54">
        <f>C13/C17</f>
        <v>3.8534147340870607E-2</v>
      </c>
      <c r="E13" s="78"/>
      <c r="J13" s="44"/>
      <c r="K13" s="44"/>
      <c r="M13" s="44"/>
      <c r="P13" s="44"/>
    </row>
    <row r="14" spans="1:16" x14ac:dyDescent="0.25">
      <c r="A14" s="52" t="s">
        <v>13</v>
      </c>
      <c r="B14" s="101">
        <f>C14/12</f>
        <v>95.541666666666671</v>
      </c>
      <c r="C14" s="101">
        <f>'Family Expenses'!B38</f>
        <v>1146.5</v>
      </c>
      <c r="D14" s="54">
        <f>C14/C17</f>
        <v>1.7778430553846338E-2</v>
      </c>
      <c r="E14" s="7"/>
      <c r="J14" s="44"/>
      <c r="K14" s="44"/>
      <c r="M14" s="44"/>
      <c r="P14" s="44"/>
    </row>
    <row r="15" spans="1:16" x14ac:dyDescent="0.25">
      <c r="A15" s="52" t="s">
        <v>14</v>
      </c>
      <c r="B15" s="101">
        <f>C15/12</f>
        <v>386.29090809201665</v>
      </c>
      <c r="C15" s="101">
        <f>'Family Expenses'!B25</f>
        <v>4635.4908971041996</v>
      </c>
      <c r="D15" s="54">
        <f>C15/C17</f>
        <v>7.1881162666510137E-2</v>
      </c>
      <c r="E15" s="9"/>
      <c r="J15" s="44"/>
      <c r="K15" s="44"/>
      <c r="L15" s="44"/>
      <c r="M15" s="44"/>
      <c r="P15" s="44"/>
    </row>
    <row r="16" spans="1:16" x14ac:dyDescent="0.25">
      <c r="A16" s="52" t="s">
        <v>15</v>
      </c>
      <c r="B16" s="101">
        <f>C16/12</f>
        <v>386.29090809201665</v>
      </c>
      <c r="C16" s="102">
        <f>C15</f>
        <v>4635.4908971041996</v>
      </c>
      <c r="D16" s="54">
        <f>C16/C17</f>
        <v>7.1881162666510137E-2</v>
      </c>
      <c r="E16" s="9"/>
      <c r="J16" s="44"/>
      <c r="K16" s="44"/>
      <c r="L16" s="44"/>
      <c r="M16" s="44"/>
      <c r="P16" s="44"/>
    </row>
    <row r="17" spans="1:15" x14ac:dyDescent="0.25">
      <c r="A17" s="59" t="s">
        <v>16</v>
      </c>
      <c r="B17" s="103">
        <f>SUM(B6:B16)</f>
        <v>5374.0214231675436</v>
      </c>
      <c r="C17" s="103">
        <f>SUM(C6:C16)</f>
        <v>64488.257078010538</v>
      </c>
      <c r="D17" s="61">
        <f>C17/C17</f>
        <v>1</v>
      </c>
      <c r="E17" s="9"/>
      <c r="J17" s="44"/>
      <c r="K17" s="44"/>
      <c r="L17" s="44"/>
      <c r="M17" s="44"/>
    </row>
    <row r="18" spans="1:15" x14ac:dyDescent="0.25">
      <c r="A18" s="4"/>
      <c r="B18" s="19"/>
      <c r="C18" s="19"/>
      <c r="D18" s="19"/>
      <c r="E18" s="9"/>
      <c r="J18" s="44"/>
      <c r="L18" s="44"/>
      <c r="M18" s="44"/>
    </row>
    <row r="19" spans="1:15" ht="17.25" x14ac:dyDescent="0.3">
      <c r="A19" s="28" t="s">
        <v>17</v>
      </c>
      <c r="B19" s="28"/>
      <c r="C19" s="28"/>
      <c r="D19" s="28"/>
      <c r="F19" s="28" t="s">
        <v>86</v>
      </c>
      <c r="G19" s="28"/>
      <c r="H19" s="28"/>
      <c r="I19" s="28"/>
      <c r="J19" s="44"/>
      <c r="L19" s="44"/>
      <c r="M19" s="44"/>
    </row>
    <row r="20" spans="1:15" x14ac:dyDescent="0.25">
      <c r="A20" s="63" t="s">
        <v>19</v>
      </c>
      <c r="B20" s="56" t="s">
        <v>2</v>
      </c>
      <c r="C20" s="58" t="s">
        <v>3</v>
      </c>
      <c r="D20" s="224" t="s">
        <v>21</v>
      </c>
      <c r="F20" s="39" t="s">
        <v>122</v>
      </c>
      <c r="G20" s="47" t="s">
        <v>35</v>
      </c>
      <c r="H20" s="44" t="s">
        <v>36</v>
      </c>
      <c r="I20" s="50" t="s">
        <v>16</v>
      </c>
      <c r="J20" s="18"/>
      <c r="L20" s="44"/>
      <c r="M20" s="44"/>
      <c r="N20" s="44"/>
      <c r="O20" s="44"/>
    </row>
    <row r="21" spans="1:15" x14ac:dyDescent="0.25">
      <c r="A21" s="147" t="s">
        <v>20</v>
      </c>
      <c r="B21" s="44">
        <v>0</v>
      </c>
      <c r="C21" s="44">
        <f>B21*12</f>
        <v>0</v>
      </c>
      <c r="D21" s="225"/>
      <c r="F21" s="48" t="s">
        <v>39</v>
      </c>
      <c r="G21" s="200">
        <v>31850</v>
      </c>
      <c r="H21" s="200">
        <v>31850</v>
      </c>
      <c r="I21" s="200">
        <f>G21+H21</f>
        <v>63700</v>
      </c>
      <c r="J21" s="18"/>
      <c r="L21" s="44"/>
      <c r="M21" s="44"/>
      <c r="N21" s="44"/>
      <c r="O21" s="44"/>
    </row>
    <row r="22" spans="1:15" ht="15.75" thickBot="1" x14ac:dyDescent="0.3">
      <c r="A22" s="52" t="s">
        <v>178</v>
      </c>
      <c r="B22" s="203">
        <f>'table 2 calculations'!C10</f>
        <v>750.45833333333337</v>
      </c>
      <c r="C22" s="203">
        <f>'table 2 calculations'!D10</f>
        <v>4502.75</v>
      </c>
      <c r="D22" s="228">
        <f>'table 2 calculations'!I45</f>
        <v>189122.80701754385</v>
      </c>
      <c r="F22" s="49" t="s">
        <v>18</v>
      </c>
      <c r="G22" s="200"/>
      <c r="H22" s="200"/>
      <c r="I22" s="200">
        <f>Table2[[#This Row],[Parent 1]]</f>
        <v>0</v>
      </c>
      <c r="J22" s="18"/>
      <c r="L22" s="44"/>
      <c r="M22" s="44"/>
      <c r="N22" s="44"/>
      <c r="O22" s="44"/>
    </row>
    <row r="23" spans="1:15" ht="16.5" thickTop="1" thickBot="1" x14ac:dyDescent="0.3">
      <c r="A23" s="52" t="s">
        <v>179</v>
      </c>
      <c r="B23" s="203">
        <f>'table 2 calculations'!C11</f>
        <v>770.27083333333337</v>
      </c>
      <c r="C23" s="203">
        <f>'table 2 calculations'!D11</f>
        <v>4621.625</v>
      </c>
      <c r="D23" s="228">
        <f>'table 2 calculations'!I46</f>
        <v>191959.64912280702</v>
      </c>
      <c r="F23" s="49" t="s">
        <v>87</v>
      </c>
      <c r="G23" s="200">
        <v>13000</v>
      </c>
      <c r="H23" s="200"/>
      <c r="I23" s="200"/>
      <c r="J23" s="18"/>
      <c r="K23" s="44"/>
      <c r="L23" s="44"/>
      <c r="M23" s="44"/>
      <c r="N23" s="44"/>
      <c r="O23" s="44"/>
    </row>
    <row r="24" spans="1:15" ht="16.5" thickTop="1" thickBot="1" x14ac:dyDescent="0.3">
      <c r="A24" s="52" t="s">
        <v>22</v>
      </c>
      <c r="B24" s="203">
        <f>C24/12</f>
        <v>11.70416666666666</v>
      </c>
      <c r="C24" s="204">
        <f>'table 2 calculations'!D12</f>
        <v>140.44999999999993</v>
      </c>
      <c r="D24" s="226"/>
      <c r="F24" s="49" t="s">
        <v>40</v>
      </c>
      <c r="G24" s="200">
        <f>G22-G23</f>
        <v>-13000</v>
      </c>
      <c r="H24" s="200"/>
      <c r="I24" s="200"/>
      <c r="J24" s="18"/>
      <c r="K24" s="44"/>
    </row>
    <row r="25" spans="1:15" ht="16.5" thickTop="1" thickBot="1" x14ac:dyDescent="0.3">
      <c r="A25" s="52" t="s">
        <v>23</v>
      </c>
      <c r="B25" s="161">
        <f>Table4[[#This Row],[Annually]]/12</f>
        <v>0</v>
      </c>
      <c r="C25" s="221">
        <f>MAX(0,255+60+60-(D40-30000)*0.05)</f>
        <v>0</v>
      </c>
      <c r="D25" s="226"/>
      <c r="F25" s="49" t="s">
        <v>41</v>
      </c>
      <c r="G25" s="200">
        <f>G21+G24</f>
        <v>18850</v>
      </c>
      <c r="H25" s="200">
        <v>31850</v>
      </c>
      <c r="I25" s="200">
        <f t="shared" ref="I25" si="0">G25+H25</f>
        <v>50700</v>
      </c>
      <c r="J25" s="1"/>
      <c r="K25" s="44"/>
    </row>
    <row r="26" spans="1:15" ht="15.75" thickTop="1" x14ac:dyDescent="0.25">
      <c r="A26" s="59" t="s">
        <v>16</v>
      </c>
      <c r="B26" s="60">
        <f>SUM(B21:B25)</f>
        <v>1532.4333333333334</v>
      </c>
      <c r="C26" s="64">
        <f>SUM(C21:C25)</f>
        <v>9264.8250000000007</v>
      </c>
      <c r="D26" s="227"/>
      <c r="F26" s="49" t="s">
        <v>42</v>
      </c>
      <c r="G26" s="202">
        <v>598.78</v>
      </c>
      <c r="H26" s="202">
        <v>598.78</v>
      </c>
      <c r="I26" s="202">
        <v>1197.56</v>
      </c>
      <c r="J26" s="6"/>
      <c r="K26" s="44"/>
    </row>
    <row r="27" spans="1:15" ht="17.25" x14ac:dyDescent="0.3">
      <c r="A27" s="4"/>
      <c r="B27" s="19"/>
      <c r="C27" s="19"/>
      <c r="D27" s="28"/>
      <c r="F27" s="49" t="s">
        <v>43</v>
      </c>
      <c r="G27" s="202">
        <v>1403.325</v>
      </c>
      <c r="H27" s="202">
        <v>1403.325</v>
      </c>
      <c r="I27" s="202">
        <v>2806.65</v>
      </c>
      <c r="J27" s="1"/>
      <c r="K27" s="44"/>
    </row>
    <row r="28" spans="1:15" ht="17.25" x14ac:dyDescent="0.3">
      <c r="A28" s="28" t="s">
        <v>27</v>
      </c>
      <c r="B28" s="28"/>
      <c r="C28" s="28"/>
      <c r="D28" s="1"/>
      <c r="E28" s="44"/>
      <c r="F28" s="49" t="s">
        <v>44</v>
      </c>
      <c r="G28" s="202">
        <v>420.10125000000016</v>
      </c>
      <c r="H28" s="202">
        <v>1696.4392500000004</v>
      </c>
      <c r="I28" s="202">
        <v>2116.5405000000005</v>
      </c>
      <c r="J28" s="1"/>
      <c r="K28" s="44"/>
      <c r="L28" s="44"/>
      <c r="M28" s="44"/>
      <c r="N28" s="44"/>
      <c r="O28" s="44"/>
    </row>
    <row r="29" spans="1:15" x14ac:dyDescent="0.25">
      <c r="A29" s="30"/>
      <c r="B29" s="46"/>
      <c r="C29" s="29" t="s">
        <v>3</v>
      </c>
      <c r="D29" s="6"/>
      <c r="E29" s="256"/>
      <c r="F29" s="49" t="s">
        <v>45</v>
      </c>
      <c r="G29" s="202">
        <v>611.31593250000014</v>
      </c>
      <c r="H29" s="202">
        <v>1688.4393204999997</v>
      </c>
      <c r="I29" s="202">
        <v>2299.7552529999998</v>
      </c>
      <c r="J29" s="44"/>
      <c r="K29" s="44"/>
      <c r="L29" s="44"/>
      <c r="M29" s="44"/>
      <c r="N29" s="44"/>
      <c r="O29" s="44"/>
    </row>
    <row r="30" spans="1:15" x14ac:dyDescent="0.25">
      <c r="A30" s="79" t="s">
        <v>29</v>
      </c>
      <c r="B30" s="27"/>
      <c r="C30" s="15">
        <f>C26+D46</f>
        <v>64512.713663200004</v>
      </c>
      <c r="D30" s="1"/>
      <c r="E30" s="5"/>
      <c r="F30" s="49" t="s">
        <v>46</v>
      </c>
      <c r="G30" s="200">
        <v>0</v>
      </c>
      <c r="H30" s="200">
        <v>0</v>
      </c>
      <c r="I30" s="200">
        <v>0</v>
      </c>
      <c r="J30" s="44"/>
      <c r="K30" s="44"/>
      <c r="L30" s="44"/>
      <c r="M30" s="44"/>
      <c r="N30" s="44"/>
      <c r="O30" s="44"/>
    </row>
    <row r="31" spans="1:15" x14ac:dyDescent="0.25">
      <c r="A31" s="79" t="s">
        <v>30</v>
      </c>
      <c r="B31" s="27"/>
      <c r="C31" s="15">
        <f>C17</f>
        <v>64488.257078010538</v>
      </c>
      <c r="D31" s="1"/>
      <c r="E31" s="4"/>
      <c r="F31" s="49" t="s">
        <v>47</v>
      </c>
      <c r="G31" s="202">
        <v>28816.477817499999</v>
      </c>
      <c r="H31" s="202">
        <v>26463.0164295</v>
      </c>
      <c r="I31" s="202">
        <v>55279.494246999995</v>
      </c>
      <c r="J31" s="41"/>
      <c r="K31" s="44"/>
      <c r="L31" s="1"/>
      <c r="M31" s="1"/>
      <c r="N31" s="1"/>
      <c r="O31" s="1"/>
    </row>
    <row r="32" spans="1:15" x14ac:dyDescent="0.25">
      <c r="A32" s="35" t="s">
        <v>32</v>
      </c>
      <c r="B32" s="36"/>
      <c r="C32" s="32">
        <f>C30-C31</f>
        <v>24.456585189465841</v>
      </c>
      <c r="D32" s="1"/>
      <c r="E32" s="4"/>
      <c r="J32" s="44"/>
      <c r="K32" s="44"/>
      <c r="L32" s="1"/>
      <c r="M32" s="1"/>
      <c r="N32" s="1"/>
      <c r="O32" s="1"/>
    </row>
    <row r="33" spans="1:15" x14ac:dyDescent="0.25">
      <c r="A33" s="4"/>
      <c r="B33" s="19"/>
      <c r="C33" s="19"/>
      <c r="D33" s="1"/>
      <c r="E33" s="1" t="s">
        <v>107</v>
      </c>
      <c r="F33" s="44"/>
      <c r="G33" s="44"/>
      <c r="H33" s="76"/>
      <c r="I33" s="77"/>
      <c r="J33" s="38"/>
      <c r="K33" s="44"/>
      <c r="L33" s="1"/>
      <c r="M33" s="1"/>
      <c r="N33" s="1"/>
      <c r="O33" s="1"/>
    </row>
    <row r="34" spans="1:15" ht="17.25" x14ac:dyDescent="0.3">
      <c r="A34" s="28" t="s">
        <v>33</v>
      </c>
      <c r="B34" s="28"/>
      <c r="C34" s="28"/>
      <c r="D34" s="1"/>
      <c r="E34" s="1"/>
      <c r="F34" s="44"/>
      <c r="G34" s="44"/>
      <c r="H34" s="20"/>
      <c r="I34" s="1"/>
      <c r="J34" s="1"/>
      <c r="K34" s="44"/>
      <c r="L34" s="1"/>
      <c r="M34" s="1"/>
      <c r="N34" s="1"/>
      <c r="O34" s="1"/>
    </row>
    <row r="35" spans="1:15" x14ac:dyDescent="0.25">
      <c r="A35" s="72" t="s">
        <v>34</v>
      </c>
      <c r="B35" s="56" t="s">
        <v>35</v>
      </c>
      <c r="C35" s="57" t="s">
        <v>36</v>
      </c>
      <c r="D35" s="58" t="s">
        <v>16</v>
      </c>
      <c r="E35" s="22"/>
      <c r="F35" s="274" t="s">
        <v>0</v>
      </c>
      <c r="G35" s="275"/>
      <c r="H35" s="44"/>
      <c r="I35" s="197"/>
      <c r="J35" s="197"/>
      <c r="K35" s="44"/>
      <c r="L35" s="1"/>
      <c r="M35" s="1"/>
      <c r="N35" s="1"/>
      <c r="O35" s="1"/>
    </row>
    <row r="36" spans="1:15" x14ac:dyDescent="0.25">
      <c r="A36" s="65" t="s">
        <v>37</v>
      </c>
      <c r="B36" s="24">
        <v>35</v>
      </c>
      <c r="C36" s="10">
        <v>35</v>
      </c>
      <c r="D36" s="68">
        <f>B36+C36</f>
        <v>70</v>
      </c>
      <c r="E36" s="23"/>
      <c r="F36" s="129" t="s">
        <v>113</v>
      </c>
      <c r="G36" s="49">
        <v>8000</v>
      </c>
      <c r="H36" s="44"/>
      <c r="I36" s="44"/>
      <c r="J36" s="44"/>
      <c r="K36" s="44"/>
      <c r="L36" s="3"/>
      <c r="M36" s="1"/>
      <c r="N36" s="1"/>
      <c r="O36" s="1"/>
    </row>
    <row r="37" spans="1:15" x14ac:dyDescent="0.25">
      <c r="A37" s="51" t="s">
        <v>38</v>
      </c>
      <c r="B37" s="202">
        <v>17.75</v>
      </c>
      <c r="C37" s="34">
        <f>Table5[[#This Row],[Parent 1]]</f>
        <v>17.75</v>
      </c>
      <c r="D37" s="68"/>
      <c r="E37" s="22"/>
      <c r="F37" s="129" t="s">
        <v>114</v>
      </c>
      <c r="G37" s="42">
        <v>5000</v>
      </c>
      <c r="H37" s="44"/>
      <c r="I37" s="44"/>
      <c r="J37" s="44"/>
      <c r="K37" s="44"/>
      <c r="L37" s="1"/>
      <c r="M37" s="3"/>
      <c r="N37" s="3"/>
      <c r="O37" s="1"/>
    </row>
    <row r="38" spans="1:15" x14ac:dyDescent="0.25">
      <c r="A38" s="52" t="s">
        <v>39</v>
      </c>
      <c r="B38" s="26">
        <f>(B37*B36)*52</f>
        <v>32305</v>
      </c>
      <c r="C38" s="26">
        <f>B38</f>
        <v>32305</v>
      </c>
      <c r="D38" s="62">
        <f>B38+C38</f>
        <v>64610</v>
      </c>
      <c r="E38" s="4"/>
      <c r="F38" s="130" t="s">
        <v>16</v>
      </c>
      <c r="G38" s="48">
        <f>SUM(G36:G37)</f>
        <v>13000</v>
      </c>
      <c r="H38" s="44" t="s">
        <v>241</v>
      </c>
      <c r="I38" s="44"/>
      <c r="J38" s="44"/>
      <c r="K38" s="44"/>
      <c r="L38" s="1"/>
      <c r="M38" s="1"/>
      <c r="N38" s="1"/>
      <c r="O38" s="1"/>
    </row>
    <row r="39" spans="1:15" x14ac:dyDescent="0.25">
      <c r="A39" s="66" t="s">
        <v>40</v>
      </c>
      <c r="B39" s="26">
        <f>-G38</f>
        <v>-13000</v>
      </c>
      <c r="C39" s="25"/>
      <c r="D39" s="69"/>
      <c r="E39" s="4"/>
      <c r="H39" s="21"/>
      <c r="I39" s="44"/>
      <c r="J39" s="44"/>
      <c r="K39" s="44"/>
      <c r="L39" s="1"/>
      <c r="M39" s="1"/>
      <c r="N39" s="1"/>
      <c r="O39" s="1"/>
    </row>
    <row r="40" spans="1:15" x14ac:dyDescent="0.25">
      <c r="A40" s="67" t="s">
        <v>41</v>
      </c>
      <c r="B40" s="33">
        <f>B38+B39</f>
        <v>19305</v>
      </c>
      <c r="C40" s="33">
        <f>C38+C39</f>
        <v>32305</v>
      </c>
      <c r="D40" s="70">
        <f>B40+C40</f>
        <v>51610</v>
      </c>
      <c r="E40" s="23"/>
      <c r="F40" s="19"/>
      <c r="G40" s="2"/>
      <c r="H40" s="19"/>
      <c r="I40" s="44"/>
      <c r="J40" s="44"/>
      <c r="K40" s="44"/>
      <c r="L40" s="1"/>
      <c r="M40" s="1"/>
      <c r="N40" s="1"/>
      <c r="O40" s="1"/>
    </row>
    <row r="41" spans="1:15" ht="15.75" thickBot="1" x14ac:dyDescent="0.3">
      <c r="A41" s="52" t="s">
        <v>42</v>
      </c>
      <c r="B41" s="203">
        <f>'table 4 calculations'!C8</f>
        <v>526.5714999999999</v>
      </c>
      <c r="C41" s="203">
        <f>'table 4 calculations'!D8</f>
        <v>526.5714999999999</v>
      </c>
      <c r="D41" s="62">
        <f t="shared" ref="D41:D47" si="1">B41+C41</f>
        <v>1053.1429999999998</v>
      </c>
      <c r="E41" s="23"/>
      <c r="H41" s="19"/>
      <c r="K41" s="1"/>
      <c r="L41" s="1"/>
      <c r="M41" s="1"/>
      <c r="N41" s="1"/>
      <c r="O41" s="1"/>
    </row>
    <row r="42" spans="1:15" ht="16.5" thickTop="1" thickBot="1" x14ac:dyDescent="0.3">
      <c r="A42" s="52" t="s">
        <v>43</v>
      </c>
      <c r="B42" s="254">
        <f>'table 4 calculations'!C13</f>
        <v>1425.8475000000001</v>
      </c>
      <c r="C42" s="254">
        <f>'table 4 calculations'!D13</f>
        <v>1425.8475000000001</v>
      </c>
      <c r="D42" s="62">
        <f t="shared" si="1"/>
        <v>2851.6950000000002</v>
      </c>
      <c r="E42" s="4"/>
      <c r="H42" s="19"/>
      <c r="K42" s="1"/>
      <c r="L42" s="1"/>
      <c r="M42" s="1"/>
      <c r="N42" s="1"/>
      <c r="O42" s="3"/>
    </row>
    <row r="43" spans="1:15" ht="16.5" thickTop="1" thickBot="1" x14ac:dyDescent="0.3">
      <c r="A43" s="52" t="s">
        <v>44</v>
      </c>
      <c r="B43" s="255">
        <f>'table 4 calculations'!H51</f>
        <v>471.15165000000025</v>
      </c>
      <c r="C43" s="255">
        <f>'table 4 calculations'!I51</f>
        <v>2453.3371500000003</v>
      </c>
      <c r="D43" s="62">
        <f t="shared" si="1"/>
        <v>2924.4888000000005</v>
      </c>
      <c r="E43" s="4"/>
      <c r="H43" s="19"/>
      <c r="K43" s="1"/>
      <c r="L43" s="1"/>
      <c r="M43" s="1"/>
      <c r="N43" s="1"/>
      <c r="O43" s="1"/>
    </row>
    <row r="44" spans="1:15" ht="16.5" thickTop="1" thickBot="1" x14ac:dyDescent="0.3">
      <c r="A44" s="52" t="s">
        <v>45</v>
      </c>
      <c r="B44" s="255">
        <f>'table 4 calculations'!H38</f>
        <v>551.3976669000001</v>
      </c>
      <c r="C44" s="255">
        <f>'table 4 calculations'!I38</f>
        <v>1981.3868699</v>
      </c>
      <c r="D44" s="62">
        <f t="shared" si="1"/>
        <v>2532.7845367999998</v>
      </c>
      <c r="E44" s="2"/>
      <c r="H44" s="19"/>
      <c r="K44" s="1"/>
      <c r="L44" s="1"/>
      <c r="M44" s="1"/>
      <c r="N44" s="1"/>
      <c r="O44" s="1"/>
    </row>
    <row r="45" spans="1:15" ht="16.5" thickTop="1" thickBot="1" x14ac:dyDescent="0.3">
      <c r="A45" s="52" t="s">
        <v>46</v>
      </c>
      <c r="B45" s="161">
        <f>'table 4 calculations'!C58</f>
        <v>0</v>
      </c>
      <c r="C45" s="161">
        <f>'table 4 calculations'!C55</f>
        <v>0</v>
      </c>
      <c r="D45" s="62">
        <f t="shared" si="1"/>
        <v>0</v>
      </c>
      <c r="E45" s="1"/>
      <c r="K45" s="1"/>
      <c r="L45" s="1"/>
      <c r="M45" s="1"/>
      <c r="N45" s="1"/>
      <c r="O45" s="1"/>
    </row>
    <row r="46" spans="1:15" ht="15.75" thickTop="1" x14ac:dyDescent="0.25">
      <c r="A46" s="65" t="s">
        <v>47</v>
      </c>
      <c r="B46" s="15">
        <f>B38-SUM(B41:B45)</f>
        <v>29330.031683100002</v>
      </c>
      <c r="C46" s="15">
        <f>C38-SUM(C41:C45)</f>
        <v>25917.856980099998</v>
      </c>
      <c r="D46" s="71">
        <f>B46+C46</f>
        <v>55247.888663199999</v>
      </c>
      <c r="E46" s="1"/>
      <c r="F46" s="44"/>
      <c r="G46" s="44"/>
      <c r="H46" s="4"/>
      <c r="J46" s="1"/>
      <c r="K46" s="1"/>
      <c r="L46" s="44"/>
      <c r="M46" s="44"/>
      <c r="N46" s="44"/>
      <c r="O46" s="1"/>
    </row>
    <row r="47" spans="1:15" x14ac:dyDescent="0.25">
      <c r="A47" s="73" t="s">
        <v>48</v>
      </c>
      <c r="B47" s="74">
        <f>B46/12</f>
        <v>2444.169306925</v>
      </c>
      <c r="C47" s="74">
        <f>C46/12</f>
        <v>2159.8214150083331</v>
      </c>
      <c r="D47" s="75">
        <f t="shared" si="1"/>
        <v>4603.9907219333327</v>
      </c>
      <c r="E47" s="1"/>
      <c r="F47" s="1"/>
      <c r="G47" s="1"/>
      <c r="H47" s="4"/>
      <c r="I47" s="1"/>
      <c r="J47" s="1"/>
      <c r="K47" s="1"/>
      <c r="L47" s="44"/>
      <c r="M47" s="44"/>
      <c r="N47" s="44"/>
      <c r="O47" s="1"/>
    </row>
    <row r="48" spans="1:15" x14ac:dyDescent="0.25">
      <c r="A48" s="44"/>
      <c r="B48" s="44"/>
      <c r="C48" s="44"/>
      <c r="D48" s="44"/>
      <c r="E48" s="1"/>
      <c r="F48" s="44"/>
      <c r="G48" s="44"/>
      <c r="H48" s="1"/>
      <c r="I48" s="3"/>
      <c r="J48" s="3"/>
      <c r="K48" s="1"/>
      <c r="L48" s="44"/>
      <c r="M48" s="44"/>
      <c r="N48" s="44"/>
      <c r="O48" s="1"/>
    </row>
    <row r="49" spans="1:15" ht="17.25" x14ac:dyDescent="0.3">
      <c r="A49" s="80" t="s">
        <v>49</v>
      </c>
      <c r="B49" s="80"/>
      <c r="C49" s="80"/>
      <c r="D49" s="80"/>
      <c r="E49" s="3"/>
      <c r="F49" s="44"/>
      <c r="G49" s="44"/>
      <c r="H49" s="1"/>
      <c r="I49" s="1"/>
      <c r="J49" s="1"/>
      <c r="K49" s="1"/>
      <c r="L49" s="44"/>
      <c r="M49" s="44"/>
      <c r="N49" s="44"/>
      <c r="O49" s="1"/>
    </row>
    <row r="50" spans="1:15" x14ac:dyDescent="0.25">
      <c r="A50" s="276" t="s">
        <v>50</v>
      </c>
      <c r="B50" s="277"/>
      <c r="C50" s="278"/>
      <c r="D50" s="15">
        <f xml:space="preserve"> D38</f>
        <v>64610</v>
      </c>
      <c r="E50" s="44"/>
      <c r="F50" s="44"/>
      <c r="G50" s="44"/>
      <c r="H50" s="1"/>
      <c r="I50" s="1"/>
      <c r="J50" s="1"/>
      <c r="K50" s="1"/>
      <c r="L50" s="44"/>
      <c r="M50" s="44"/>
      <c r="N50" s="44"/>
      <c r="O50" s="1"/>
    </row>
    <row r="51" spans="1:15" ht="17.25" x14ac:dyDescent="0.3">
      <c r="A51" s="276" t="s">
        <v>51</v>
      </c>
      <c r="B51" s="277"/>
      <c r="C51" s="278"/>
      <c r="D51" s="15">
        <f>SUM(B41:B44)+SUM(C41:C44)</f>
        <v>9362.1113368000006</v>
      </c>
      <c r="E51" s="80"/>
      <c r="F51" s="44"/>
      <c r="G51" s="44"/>
      <c r="H51" s="1"/>
      <c r="I51" s="1"/>
      <c r="J51" s="1"/>
      <c r="K51" s="1"/>
      <c r="L51" s="44"/>
      <c r="M51" s="44"/>
      <c r="N51" s="44"/>
      <c r="O51" s="44"/>
    </row>
    <row r="52" spans="1:15" x14ac:dyDescent="0.25">
      <c r="A52" s="276" t="s">
        <v>52</v>
      </c>
      <c r="B52" s="277"/>
      <c r="C52" s="278"/>
      <c r="D52" s="15">
        <f>D50-D51</f>
        <v>55247.888663199999</v>
      </c>
      <c r="E52" s="1"/>
      <c r="F52" s="44"/>
      <c r="G52" s="44"/>
      <c r="H52" s="1"/>
      <c r="I52" s="1"/>
      <c r="J52" s="1"/>
      <c r="K52" s="1"/>
    </row>
    <row r="53" spans="1:15" x14ac:dyDescent="0.25">
      <c r="A53" s="276" t="s">
        <v>106</v>
      </c>
      <c r="B53" s="277"/>
      <c r="C53" s="278"/>
      <c r="D53" s="15">
        <f>C26</f>
        <v>9264.8250000000007</v>
      </c>
      <c r="E53" s="1"/>
      <c r="F53" s="44"/>
      <c r="G53" s="44"/>
      <c r="H53" s="3"/>
      <c r="I53" s="1"/>
      <c r="J53" s="1"/>
      <c r="K53" s="1"/>
    </row>
    <row r="54" spans="1:15" x14ac:dyDescent="0.25">
      <c r="A54" s="276" t="s">
        <v>53</v>
      </c>
      <c r="B54" s="277"/>
      <c r="C54" s="278"/>
      <c r="D54" s="15">
        <f>D52+D53</f>
        <v>64512.713663200004</v>
      </c>
      <c r="E54" s="1"/>
      <c r="F54" s="44"/>
      <c r="G54" s="44"/>
      <c r="H54" s="1"/>
      <c r="I54" s="1"/>
      <c r="J54" s="1"/>
      <c r="K54" s="3"/>
    </row>
    <row r="55" spans="1:15" x14ac:dyDescent="0.25">
      <c r="A55" s="276" t="s">
        <v>54</v>
      </c>
      <c r="B55" s="277"/>
      <c r="C55" s="278"/>
      <c r="D55" s="15">
        <f>C17</f>
        <v>64488.257078010538</v>
      </c>
      <c r="E55" s="1"/>
      <c r="F55" s="44"/>
      <c r="G55" s="1"/>
      <c r="H55" s="1"/>
      <c r="I55" s="1"/>
      <c r="J55" s="1"/>
      <c r="K55" s="1"/>
    </row>
    <row r="56" spans="1:15" x14ac:dyDescent="0.25">
      <c r="A56" s="276" t="s">
        <v>55</v>
      </c>
      <c r="B56" s="277"/>
      <c r="C56" s="278"/>
      <c r="D56" s="15">
        <f>D54-D55</f>
        <v>24.456585189465841</v>
      </c>
      <c r="E56" s="1"/>
      <c r="F56" s="44"/>
      <c r="G56" s="44"/>
      <c r="H56" s="1"/>
      <c r="I56" s="1"/>
      <c r="J56" s="1"/>
      <c r="K56" s="1"/>
    </row>
    <row r="57" spans="1:15" x14ac:dyDescent="0.25">
      <c r="A57" s="44"/>
      <c r="B57" s="44"/>
      <c r="C57" s="44"/>
      <c r="D57" s="44"/>
      <c r="E57" s="1"/>
      <c r="F57" s="44"/>
      <c r="G57" s="44"/>
      <c r="H57" s="1"/>
      <c r="I57" s="1"/>
      <c r="J57" s="1"/>
      <c r="K57" s="1"/>
    </row>
    <row r="58" spans="1:15" x14ac:dyDescent="0.25">
      <c r="A58" s="44"/>
      <c r="B58" s="44"/>
      <c r="C58" s="44"/>
      <c r="D58" s="44"/>
      <c r="E58" s="3"/>
      <c r="F58" s="44"/>
      <c r="G58" s="44"/>
      <c r="H58" s="1"/>
      <c r="I58" s="1"/>
      <c r="J58" s="1"/>
      <c r="K58" s="1"/>
    </row>
    <row r="59" spans="1:15" x14ac:dyDescent="0.25">
      <c r="A59" s="44"/>
      <c r="B59" s="44"/>
      <c r="C59" s="44"/>
      <c r="D59" s="44"/>
      <c r="E59" s="1"/>
      <c r="F59" s="44"/>
      <c r="G59" s="44"/>
      <c r="H59" s="1"/>
      <c r="I59" s="44"/>
      <c r="J59" s="44"/>
      <c r="K59" s="1"/>
    </row>
    <row r="60" spans="1:15" x14ac:dyDescent="0.25">
      <c r="H60" s="1"/>
      <c r="I60" s="44"/>
      <c r="J60" s="44"/>
      <c r="K60" s="1"/>
    </row>
    <row r="61" spans="1:15" x14ac:dyDescent="0.25">
      <c r="H61" s="1"/>
      <c r="I61" s="44"/>
      <c r="J61" s="44"/>
      <c r="K61" s="1"/>
    </row>
    <row r="62" spans="1:15" x14ac:dyDescent="0.25">
      <c r="H62" s="1"/>
      <c r="I62" s="44"/>
      <c r="J62" s="44"/>
      <c r="K62" s="1"/>
    </row>
    <row r="63" spans="1:15" x14ac:dyDescent="0.25">
      <c r="H63" s="44"/>
      <c r="I63" s="44"/>
      <c r="J63" s="44"/>
      <c r="K63" s="1"/>
    </row>
  </sheetData>
  <mergeCells count="10">
    <mergeCell ref="A1:E1"/>
    <mergeCell ref="A2:B2"/>
    <mergeCell ref="F35:G35"/>
    <mergeCell ref="A56:C56"/>
    <mergeCell ref="A50:C50"/>
    <mergeCell ref="A51:C51"/>
    <mergeCell ref="A52:C52"/>
    <mergeCell ref="A53:C53"/>
    <mergeCell ref="A54:C54"/>
    <mergeCell ref="A55:C55"/>
  </mergeCells>
  <phoneticPr fontId="7" type="noConversion"/>
  <pageMargins left="0.7" right="0.7" top="0.75" bottom="0.75" header="0.3" footer="0.3"/>
  <pageSetup orientation="portrait"/>
  <ignoredErrors>
    <ignoredError sqref="C11" formula="1"/>
  </ignoredErrors>
  <legacyDrawing r:id="rId1"/>
  <tableParts count="4">
    <tablePart r:id="rId2"/>
    <tablePart r:id="rId3"/>
    <tablePart r:id="rId4"/>
    <tablePart r:id="rId5"/>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election activeCell="A3" sqref="A3"/>
    </sheetView>
  </sheetViews>
  <sheetFormatPr defaultRowHeight="15" x14ac:dyDescent="0.25"/>
  <sheetData>
    <row r="1" spans="1:2" x14ac:dyDescent="0.25">
      <c r="A1" s="271" t="s">
        <v>1</v>
      </c>
      <c r="B1" s="271" t="s">
        <v>4</v>
      </c>
    </row>
    <row r="2" spans="1:2" x14ac:dyDescent="0.25">
      <c r="A2" s="271" t="s">
        <v>5</v>
      </c>
      <c r="B2" s="305">
        <v>0.16148595552291917</v>
      </c>
    </row>
    <row r="3" spans="1:2" x14ac:dyDescent="0.25">
      <c r="A3" s="271" t="s">
        <v>6</v>
      </c>
      <c r="B3" s="305">
        <v>2.9180258446603779E-2</v>
      </c>
    </row>
    <row r="4" spans="1:2" x14ac:dyDescent="0.25">
      <c r="A4" s="271" t="s">
        <v>7</v>
      </c>
      <c r="B4" s="305">
        <v>0.21610010285258116</v>
      </c>
    </row>
    <row r="5" spans="1:2" x14ac:dyDescent="0.25">
      <c r="A5" s="271" t="s">
        <v>8</v>
      </c>
      <c r="B5" s="305">
        <v>5.8521349327749973E-2</v>
      </c>
    </row>
    <row r="6" spans="1:2" x14ac:dyDescent="0.25">
      <c r="A6" s="271" t="s">
        <v>9</v>
      </c>
      <c r="B6" s="305">
        <v>0.10037431537454244</v>
      </c>
    </row>
    <row r="7" spans="1:2" x14ac:dyDescent="0.25">
      <c r="A7" s="271" t="s">
        <v>10</v>
      </c>
      <c r="B7" s="305">
        <v>0.2035952062422377</v>
      </c>
    </row>
    <row r="8" spans="1:2" x14ac:dyDescent="0.25">
      <c r="A8" s="271" t="s">
        <v>11</v>
      </c>
      <c r="B8" s="305">
        <v>3.0667909005628418E-2</v>
      </c>
    </row>
    <row r="9" spans="1:2" x14ac:dyDescent="0.25">
      <c r="A9" s="271" t="s">
        <v>262</v>
      </c>
      <c r="B9" s="305">
        <v>3.8534147340870607E-2</v>
      </c>
    </row>
    <row r="10" spans="1:2" x14ac:dyDescent="0.25">
      <c r="A10" s="271" t="s">
        <v>13</v>
      </c>
      <c r="B10" s="305">
        <v>1.7778430553846338E-2</v>
      </c>
    </row>
    <row r="11" spans="1:2" x14ac:dyDescent="0.25">
      <c r="A11" s="271" t="s">
        <v>14</v>
      </c>
      <c r="B11" s="305">
        <v>7.1881162666510137E-2</v>
      </c>
    </row>
    <row r="12" spans="1:2" x14ac:dyDescent="0.25">
      <c r="A12" s="271" t="s">
        <v>15</v>
      </c>
      <c r="B12" s="305">
        <v>7.1881162666510137E-2</v>
      </c>
    </row>
    <row r="13" spans="1:2" x14ac:dyDescent="0.25">
      <c r="A13" s="271"/>
      <c r="B13" s="305"/>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opLeftCell="A48" workbookViewId="0">
      <selection activeCell="C68" sqref="C68"/>
    </sheetView>
  </sheetViews>
  <sheetFormatPr defaultColWidth="8.85546875" defaultRowHeight="15" x14ac:dyDescent="0.25"/>
  <cols>
    <col min="1" max="1" width="36" style="81" customWidth="1"/>
    <col min="2" max="2" width="10.42578125" style="118" customWidth="1"/>
    <col min="3" max="3" width="14.28515625" style="81" customWidth="1"/>
    <col min="4" max="4" width="9.140625" style="81" bestFit="1" customWidth="1"/>
    <col min="5" max="16384" width="8.85546875" style="81"/>
  </cols>
  <sheetData>
    <row r="1" spans="1:3" x14ac:dyDescent="0.25">
      <c r="A1" s="283" t="s">
        <v>116</v>
      </c>
      <c r="B1" s="283"/>
    </row>
    <row r="2" spans="1:3" x14ac:dyDescent="0.25">
      <c r="A2" s="82"/>
      <c r="B2" s="105"/>
    </row>
    <row r="3" spans="1:3" x14ac:dyDescent="0.25">
      <c r="A3" s="289" t="s">
        <v>7</v>
      </c>
      <c r="B3" s="290"/>
    </row>
    <row r="4" spans="1:3" x14ac:dyDescent="0.25">
      <c r="A4" s="126" t="s">
        <v>123</v>
      </c>
      <c r="B4" s="106">
        <f>1128*(CPI!H14/CPI!F14)</f>
        <v>1141.3265822784811</v>
      </c>
      <c r="C4" s="121"/>
    </row>
    <row r="5" spans="1:3" x14ac:dyDescent="0.25">
      <c r="A5" s="84" t="s">
        <v>88</v>
      </c>
      <c r="B5" s="107">
        <v>20</v>
      </c>
    </row>
    <row r="6" spans="1:3" x14ac:dyDescent="0.25">
      <c r="A6" s="85" t="s">
        <v>89</v>
      </c>
      <c r="B6" s="108">
        <f>SUM(B4:B5)</f>
        <v>1161.3265822784811</v>
      </c>
    </row>
    <row r="7" spans="1:3" x14ac:dyDescent="0.25">
      <c r="A7" s="87"/>
      <c r="B7" s="262"/>
    </row>
    <row r="8" spans="1:3" x14ac:dyDescent="0.25">
      <c r="A8" s="288" t="s">
        <v>8</v>
      </c>
      <c r="B8" s="288"/>
    </row>
    <row r="9" spans="1:3" x14ac:dyDescent="0.25">
      <c r="A9" s="286" t="s">
        <v>90</v>
      </c>
      <c r="B9" s="287"/>
    </row>
    <row r="10" spans="1:3" x14ac:dyDescent="0.25">
      <c r="A10" s="86" t="s">
        <v>91</v>
      </c>
      <c r="B10" s="109">
        <v>10.83</v>
      </c>
    </row>
    <row r="11" spans="1:3" x14ac:dyDescent="0.25">
      <c r="A11" s="83" t="s">
        <v>92</v>
      </c>
      <c r="B11" s="109">
        <f>0.15331*1100</f>
        <v>168.64099999999999</v>
      </c>
    </row>
    <row r="12" spans="1:3" x14ac:dyDescent="0.25">
      <c r="A12" s="83" t="s">
        <v>93</v>
      </c>
      <c r="B12" s="109">
        <f>SUM(B10:B11)*0.15</f>
        <v>26.920649999999998</v>
      </c>
    </row>
    <row r="13" spans="1:3" x14ac:dyDescent="0.25">
      <c r="A13" s="83" t="s">
        <v>16</v>
      </c>
      <c r="B13" s="109">
        <f>SUM(B10:B12)</f>
        <v>206.39165</v>
      </c>
      <c r="C13" s="100"/>
    </row>
    <row r="14" spans="1:3" x14ac:dyDescent="0.25">
      <c r="A14" s="83" t="s">
        <v>94</v>
      </c>
      <c r="B14" s="110">
        <f>-(B13*10%)</f>
        <v>-20.639165000000002</v>
      </c>
    </row>
    <row r="15" spans="1:3" x14ac:dyDescent="0.25">
      <c r="A15" s="126" t="s">
        <v>249</v>
      </c>
      <c r="B15" s="261">
        <f>SUM(B13:B14)</f>
        <v>185.75248500000001</v>
      </c>
    </row>
    <row r="16" spans="1:3" x14ac:dyDescent="0.25">
      <c r="A16" s="126" t="s">
        <v>127</v>
      </c>
      <c r="B16" s="264">
        <f>70+(70*15%)</f>
        <v>80.5</v>
      </c>
    </row>
    <row r="17" spans="1:3" x14ac:dyDescent="0.25">
      <c r="A17" s="126" t="s">
        <v>128</v>
      </c>
      <c r="B17" s="264">
        <f>41.95+(41.95*15%)</f>
        <v>48.242500000000007</v>
      </c>
    </row>
    <row r="18" spans="1:3" x14ac:dyDescent="0.25">
      <c r="A18" s="265" t="s">
        <v>248</v>
      </c>
      <c r="B18" s="34">
        <f>B15+B16+B17</f>
        <v>314.49498499999999</v>
      </c>
    </row>
    <row r="19" spans="1:3" x14ac:dyDescent="0.25">
      <c r="A19" s="87"/>
      <c r="B19" s="141"/>
    </row>
    <row r="20" spans="1:3" x14ac:dyDescent="0.25">
      <c r="A20" s="289" t="s">
        <v>64</v>
      </c>
      <c r="B20" s="290"/>
    </row>
    <row r="21" spans="1:3" x14ac:dyDescent="0.25">
      <c r="A21" s="126" t="s">
        <v>129</v>
      </c>
      <c r="B21" s="111">
        <f>MBM!C14*(CPI!H11/CPI!G11)</f>
        <v>1881.7840083073729</v>
      </c>
    </row>
    <row r="22" spans="1:3" x14ac:dyDescent="0.25">
      <c r="A22" s="140" t="s">
        <v>89</v>
      </c>
      <c r="B22" s="111">
        <f>B21/12</f>
        <v>156.81533402561442</v>
      </c>
    </row>
    <row r="23" spans="1:3" x14ac:dyDescent="0.25">
      <c r="A23" s="260"/>
      <c r="B23" s="141"/>
      <c r="C23" s="266"/>
    </row>
    <row r="24" spans="1:3" x14ac:dyDescent="0.25">
      <c r="A24" s="284" t="s">
        <v>95</v>
      </c>
      <c r="B24" s="284"/>
    </row>
    <row r="25" spans="1:3" x14ac:dyDescent="0.25">
      <c r="A25" s="88" t="s">
        <v>14</v>
      </c>
      <c r="B25" s="112">
        <f>((B21*75.4%)+(B57*75.4%))/2</f>
        <v>4635.4908971041996</v>
      </c>
    </row>
    <row r="26" spans="1:3" x14ac:dyDescent="0.25">
      <c r="A26" s="83" t="s">
        <v>15</v>
      </c>
      <c r="B26" s="113">
        <f>B25</f>
        <v>4635.4908971041996</v>
      </c>
    </row>
    <row r="27" spans="1:3" x14ac:dyDescent="0.25">
      <c r="A27" s="89"/>
      <c r="B27" s="114"/>
    </row>
    <row r="28" spans="1:3" x14ac:dyDescent="0.25">
      <c r="A28" s="30" t="s">
        <v>9</v>
      </c>
      <c r="B28" s="263"/>
    </row>
    <row r="29" spans="1:3" x14ac:dyDescent="0.25">
      <c r="A29" s="128" t="s">
        <v>111</v>
      </c>
      <c r="B29" s="115">
        <f>55*12</f>
        <v>660</v>
      </c>
    </row>
    <row r="30" spans="1:3" x14ac:dyDescent="0.25">
      <c r="A30" s="126" t="s">
        <v>126</v>
      </c>
      <c r="B30" s="123">
        <f>MBM!C9*(CPI!H9/CPI!G9)</f>
        <v>5162.964653902799</v>
      </c>
      <c r="C30" s="124"/>
    </row>
    <row r="31" spans="1:3" x14ac:dyDescent="0.25">
      <c r="A31" s="126" t="s">
        <v>125</v>
      </c>
      <c r="B31" s="123">
        <f>12.5*52</f>
        <v>650</v>
      </c>
      <c r="C31" s="124"/>
    </row>
    <row r="32" spans="1:3" x14ac:dyDescent="0.25">
      <c r="A32" s="85" t="s">
        <v>96</v>
      </c>
      <c r="B32" s="116">
        <f>SUM(B29:B31)</f>
        <v>6472.964653902799</v>
      </c>
    </row>
    <row r="33" spans="1:7" x14ac:dyDescent="0.25">
      <c r="A33" s="87"/>
      <c r="B33" s="114"/>
    </row>
    <row r="34" spans="1:7" x14ac:dyDescent="0.25">
      <c r="A34" s="289" t="s">
        <v>253</v>
      </c>
      <c r="B34" s="293"/>
      <c r="C34" s="90"/>
      <c r="D34" s="91"/>
      <c r="E34" s="91"/>
      <c r="F34" s="91"/>
    </row>
    <row r="35" spans="1:7" x14ac:dyDescent="0.25">
      <c r="A35" s="83" t="s">
        <v>97</v>
      </c>
      <c r="B35" s="109">
        <v>427</v>
      </c>
      <c r="C35" s="92"/>
    </row>
    <row r="36" spans="1:7" x14ac:dyDescent="0.25">
      <c r="A36" s="126" t="s">
        <v>261</v>
      </c>
      <c r="B36" s="109">
        <v>42.5</v>
      </c>
      <c r="C36" s="89"/>
    </row>
    <row r="37" spans="1:7" x14ac:dyDescent="0.25">
      <c r="A37" s="126" t="s">
        <v>260</v>
      </c>
      <c r="B37" s="109">
        <v>125</v>
      </c>
      <c r="C37" s="89"/>
    </row>
    <row r="38" spans="1:7" x14ac:dyDescent="0.25">
      <c r="A38" s="85" t="s">
        <v>96</v>
      </c>
      <c r="B38" s="117">
        <f>((B35+B37)*2)+B36</f>
        <v>1146.5</v>
      </c>
      <c r="C38" s="89"/>
    </row>
    <row r="39" spans="1:7" x14ac:dyDescent="0.25">
      <c r="A39" s="93"/>
      <c r="C39" s="89"/>
    </row>
    <row r="40" spans="1:7" x14ac:dyDescent="0.25">
      <c r="A40" s="291" t="s">
        <v>10</v>
      </c>
      <c r="B40" s="292"/>
      <c r="C40" s="89"/>
    </row>
    <row r="41" spans="1:7" x14ac:dyDescent="0.25">
      <c r="A41" s="127" t="s">
        <v>110</v>
      </c>
      <c r="B41" s="115">
        <f>170*52</f>
        <v>8840</v>
      </c>
      <c r="C41" s="100"/>
    </row>
    <row r="42" spans="1:7" x14ac:dyDescent="0.25">
      <c r="A42" s="127" t="s">
        <v>112</v>
      </c>
      <c r="B42" s="115">
        <f>16.1*195</f>
        <v>3139.5000000000005</v>
      </c>
      <c r="D42" s="95"/>
    </row>
    <row r="43" spans="1:7" x14ac:dyDescent="0.25">
      <c r="A43" s="94" t="s">
        <v>98</v>
      </c>
      <c r="B43" s="115">
        <f>100*7</f>
        <v>700</v>
      </c>
      <c r="D43" s="95"/>
    </row>
    <row r="44" spans="1:7" x14ac:dyDescent="0.25">
      <c r="A44" s="94" t="s">
        <v>99</v>
      </c>
      <c r="B44" s="115">
        <f>30*15</f>
        <v>450</v>
      </c>
    </row>
    <row r="45" spans="1:7" x14ac:dyDescent="0.25">
      <c r="A45" s="96" t="s">
        <v>100</v>
      </c>
      <c r="B45" s="115"/>
      <c r="C45" s="81" t="s">
        <v>101</v>
      </c>
    </row>
    <row r="46" spans="1:7" x14ac:dyDescent="0.25">
      <c r="A46" s="146" t="s">
        <v>96</v>
      </c>
      <c r="B46" s="119">
        <f>SUM(B41:B45)</f>
        <v>13129.5</v>
      </c>
    </row>
    <row r="47" spans="1:7" x14ac:dyDescent="0.25">
      <c r="A47" s="285"/>
      <c r="B47" s="285"/>
    </row>
    <row r="48" spans="1:7" x14ac:dyDescent="0.25">
      <c r="A48" s="294" t="s">
        <v>250</v>
      </c>
      <c r="B48" s="294"/>
      <c r="C48" s="100"/>
      <c r="F48" s="281"/>
      <c r="G48" s="282"/>
    </row>
    <row r="49" spans="1:9" x14ac:dyDescent="0.25">
      <c r="A49" s="97" t="s">
        <v>102</v>
      </c>
      <c r="B49" s="120">
        <v>245.6</v>
      </c>
      <c r="F49" s="100"/>
      <c r="G49" s="95"/>
    </row>
    <row r="50" spans="1:9" x14ac:dyDescent="0.25">
      <c r="A50" s="97" t="s">
        <v>103</v>
      </c>
      <c r="B50" s="120">
        <f>290.29</f>
        <v>290.29000000000002</v>
      </c>
      <c r="F50" s="100"/>
      <c r="G50" s="95"/>
    </row>
    <row r="51" spans="1:9" x14ac:dyDescent="0.25">
      <c r="A51" s="83" t="s">
        <v>104</v>
      </c>
      <c r="B51" s="120">
        <f>170.34</f>
        <v>170.34</v>
      </c>
      <c r="F51" s="100"/>
      <c r="G51" s="95"/>
      <c r="H51" s="100"/>
      <c r="I51" s="134"/>
    </row>
    <row r="52" spans="1:9" x14ac:dyDescent="0.25">
      <c r="A52" s="126" t="s">
        <v>109</v>
      </c>
      <c r="B52" s="120">
        <f>134.66</f>
        <v>134.66</v>
      </c>
      <c r="C52" s="133"/>
      <c r="D52" s="133"/>
      <c r="F52" s="131"/>
      <c r="G52" s="95"/>
      <c r="H52" s="100"/>
      <c r="I52" s="134"/>
    </row>
    <row r="53" spans="1:9" x14ac:dyDescent="0.25">
      <c r="A53" s="126" t="s">
        <v>251</v>
      </c>
      <c r="B53" s="268">
        <f>SUM(B49:B52)</f>
        <v>840.89</v>
      </c>
      <c r="C53" s="95"/>
      <c r="D53" s="95"/>
      <c r="F53" s="131"/>
      <c r="G53" s="95"/>
    </row>
    <row r="54" spans="1:9" x14ac:dyDescent="0.25">
      <c r="A54" s="142" t="s">
        <v>105</v>
      </c>
      <c r="B54" s="143">
        <f>935.11*(CPI!H10/CPI!G10)</f>
        <v>916.58073976221931</v>
      </c>
      <c r="F54" s="131"/>
      <c r="G54" s="132"/>
    </row>
    <row r="55" spans="1:9" x14ac:dyDescent="0.25">
      <c r="A55" s="145" t="s">
        <v>132</v>
      </c>
      <c r="B55" s="143">
        <v>942.12</v>
      </c>
    </row>
    <row r="56" spans="1:9" x14ac:dyDescent="0.25">
      <c r="A56" s="145" t="s">
        <v>252</v>
      </c>
      <c r="B56" s="122">
        <f>(B53*B55/B54)*(CPI!H10/CPI!F10)</f>
        <v>867.82898452084885</v>
      </c>
      <c r="C56" s="95"/>
      <c r="D56" s="95"/>
    </row>
    <row r="57" spans="1:9" x14ac:dyDescent="0.25">
      <c r="A57" s="144" t="s">
        <v>247</v>
      </c>
      <c r="B57" s="259">
        <f>B56*12</f>
        <v>10413.947814250187</v>
      </c>
      <c r="C57" s="95"/>
      <c r="D57" s="95"/>
    </row>
    <row r="59" spans="1:9" x14ac:dyDescent="0.25">
      <c r="A59" s="279" t="s">
        <v>130</v>
      </c>
      <c r="B59" s="280"/>
      <c r="C59" s="98"/>
    </row>
    <row r="60" spans="1:9" x14ac:dyDescent="0.25">
      <c r="A60" s="145" t="s">
        <v>131</v>
      </c>
      <c r="B60" s="116">
        <v>164.81</v>
      </c>
    </row>
  </sheetData>
  <mergeCells count="12">
    <mergeCell ref="A59:B59"/>
    <mergeCell ref="F48:G48"/>
    <mergeCell ref="A1:B1"/>
    <mergeCell ref="A24:B24"/>
    <mergeCell ref="A47:B47"/>
    <mergeCell ref="A9:B9"/>
    <mergeCell ref="A8:B8"/>
    <mergeCell ref="A3:B3"/>
    <mergeCell ref="A20:B20"/>
    <mergeCell ref="A40:B40"/>
    <mergeCell ref="A34:B34"/>
    <mergeCell ref="A48:B48"/>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79"/>
  <sheetViews>
    <sheetView topLeftCell="A26" workbookViewId="0">
      <selection activeCell="A46" sqref="A46"/>
    </sheetView>
  </sheetViews>
  <sheetFormatPr defaultColWidth="8.85546875" defaultRowHeight="15" x14ac:dyDescent="0.25"/>
  <cols>
    <col min="1" max="1" width="3.140625" style="44" customWidth="1"/>
    <col min="2" max="2" width="26" style="44" customWidth="1"/>
    <col min="3" max="6" width="8.85546875" style="44"/>
    <col min="7" max="7" width="13.140625" style="44" customWidth="1"/>
    <col min="8" max="8" width="37.85546875" style="44" customWidth="1"/>
    <col min="9" max="9" width="12.42578125" style="44" customWidth="1"/>
    <col min="10" max="10" width="11.42578125" style="44" customWidth="1"/>
    <col min="11" max="11" width="13.42578125" style="44" customWidth="1"/>
    <col min="12" max="12" width="11.7109375" style="44" customWidth="1"/>
    <col min="13" max="16384" width="8.85546875" style="44"/>
  </cols>
  <sheetData>
    <row r="1" spans="2:12" x14ac:dyDescent="0.25">
      <c r="B1" s="44" t="s">
        <v>133</v>
      </c>
    </row>
    <row r="2" spans="2:12" x14ac:dyDescent="0.25">
      <c r="B2" s="44" t="s">
        <v>134</v>
      </c>
    </row>
    <row r="4" spans="2:12" x14ac:dyDescent="0.25">
      <c r="B4" s="44" t="s">
        <v>135</v>
      </c>
    </row>
    <row r="6" spans="2:12" x14ac:dyDescent="0.25">
      <c r="B6" s="44" t="s">
        <v>136</v>
      </c>
    </row>
    <row r="8" spans="2:12" ht="18" thickBot="1" x14ac:dyDescent="0.35">
      <c r="B8" s="151" t="s">
        <v>17</v>
      </c>
      <c r="H8" s="152" t="s">
        <v>137</v>
      </c>
      <c r="L8" s="44" t="s">
        <v>177</v>
      </c>
    </row>
    <row r="9" spans="2:12" ht="15.75" thickBot="1" x14ac:dyDescent="0.3">
      <c r="B9" s="153" t="s">
        <v>19</v>
      </c>
      <c r="C9" s="154" t="s">
        <v>138</v>
      </c>
      <c r="D9" s="154" t="s">
        <v>139</v>
      </c>
      <c r="E9" s="155" t="s">
        <v>140</v>
      </c>
      <c r="H9" s="156" t="s">
        <v>141</v>
      </c>
      <c r="I9" s="157" t="s">
        <v>35</v>
      </c>
      <c r="J9" s="157" t="s">
        <v>36</v>
      </c>
      <c r="K9" s="158" t="s">
        <v>16</v>
      </c>
    </row>
    <row r="10" spans="2:12" ht="16.5" thickTop="1" thickBot="1" x14ac:dyDescent="0.3">
      <c r="B10" s="159" t="s">
        <v>142</v>
      </c>
      <c r="C10" s="163">
        <f>D10/6</f>
        <v>750.45833333333337</v>
      </c>
      <c r="D10" s="164">
        <f>I43</f>
        <v>4502.75</v>
      </c>
      <c r="E10" s="160"/>
      <c r="H10" s="150" t="s">
        <v>39</v>
      </c>
      <c r="I10" s="201">
        <f>'LW 2018 Income'!G21</f>
        <v>31850</v>
      </c>
      <c r="J10" s="201">
        <f>'LW 2018 Income'!H21</f>
        <v>31850</v>
      </c>
      <c r="K10" s="201">
        <f>'LW 2018 Income'!I21</f>
        <v>63700</v>
      </c>
    </row>
    <row r="11" spans="2:12" ht="16.5" thickTop="1" thickBot="1" x14ac:dyDescent="0.3">
      <c r="B11" s="159" t="s">
        <v>143</v>
      </c>
      <c r="C11" s="163">
        <f>D11/6</f>
        <v>770.27083333333337</v>
      </c>
      <c r="D11" s="164">
        <f>I44</f>
        <v>4621.625</v>
      </c>
      <c r="E11" s="160"/>
      <c r="H11" s="49" t="s">
        <v>18</v>
      </c>
      <c r="I11" s="201">
        <f>'LW 2018 Income'!G22</f>
        <v>0</v>
      </c>
      <c r="J11" s="201">
        <f>'LW 2018 Income'!H22</f>
        <v>0</v>
      </c>
      <c r="K11" s="201">
        <f>'LW 2018 Income'!I22</f>
        <v>0</v>
      </c>
      <c r="L11" s="269" t="s">
        <v>254</v>
      </c>
    </row>
    <row r="12" spans="2:12" ht="16.5" thickTop="1" thickBot="1" x14ac:dyDescent="0.3">
      <c r="B12" s="159" t="s">
        <v>22</v>
      </c>
      <c r="C12" s="165">
        <f>D12/12</f>
        <v>11.70416666666666</v>
      </c>
      <c r="D12" s="166">
        <f>I54</f>
        <v>140.44999999999993</v>
      </c>
      <c r="E12" s="160"/>
      <c r="H12" s="148" t="s">
        <v>87</v>
      </c>
      <c r="I12" s="201">
        <f>'LW 2018 Income'!G23</f>
        <v>13000</v>
      </c>
      <c r="J12" s="201">
        <f>'LW 2018 Income'!H23</f>
        <v>0</v>
      </c>
      <c r="K12" s="201">
        <f>'LW 2018 Income'!I23</f>
        <v>0</v>
      </c>
    </row>
    <row r="13" spans="2:12" ht="16.5" thickTop="1" thickBot="1" x14ac:dyDescent="0.3">
      <c r="B13" s="159" t="s">
        <v>244</v>
      </c>
      <c r="C13" s="257" t="s">
        <v>243</v>
      </c>
      <c r="D13" s="257"/>
      <c r="E13" s="160"/>
      <c r="H13" s="49" t="s">
        <v>40</v>
      </c>
      <c r="I13" s="201">
        <f>'LW 2018 Income'!G24</f>
        <v>-13000</v>
      </c>
      <c r="J13" s="201">
        <f>'LW 2018 Income'!H24</f>
        <v>0</v>
      </c>
      <c r="K13" s="201">
        <f>'LW 2018 Income'!I24</f>
        <v>0</v>
      </c>
    </row>
    <row r="14" spans="2:12" ht="16.5" thickTop="1" thickBot="1" x14ac:dyDescent="0.3">
      <c r="B14" s="159" t="s">
        <v>245</v>
      </c>
      <c r="C14" s="257" t="s">
        <v>246</v>
      </c>
      <c r="D14" s="257"/>
      <c r="E14" s="160"/>
      <c r="H14" s="148" t="s">
        <v>41</v>
      </c>
      <c r="I14" s="201">
        <f>'LW 2018 Income'!G25</f>
        <v>18850</v>
      </c>
      <c r="J14" s="201">
        <f>'LW 2018 Income'!H25</f>
        <v>31850</v>
      </c>
      <c r="K14" s="201">
        <f>'LW 2018 Income'!I25</f>
        <v>50700</v>
      </c>
    </row>
    <row r="15" spans="2:12" ht="16.5" thickTop="1" thickBot="1" x14ac:dyDescent="0.3">
      <c r="B15" s="159"/>
      <c r="C15" s="167"/>
      <c r="D15" s="168"/>
      <c r="E15" s="160"/>
      <c r="H15" s="49" t="s">
        <v>42</v>
      </c>
      <c r="I15" s="201">
        <f>'LW 2018 Income'!G26</f>
        <v>598.78</v>
      </c>
      <c r="J15" s="201">
        <f>'LW 2018 Income'!H26</f>
        <v>598.78</v>
      </c>
      <c r="K15" s="201">
        <f>'LW 2018 Income'!I26</f>
        <v>1197.56</v>
      </c>
    </row>
    <row r="16" spans="2:12" ht="16.5" thickTop="1" thickBot="1" x14ac:dyDescent="0.3">
      <c r="B16" s="159"/>
      <c r="C16" s="169"/>
      <c r="D16" s="169"/>
      <c r="E16" s="160"/>
      <c r="H16" s="148" t="s">
        <v>43</v>
      </c>
      <c r="I16" s="201">
        <f>'LW 2018 Income'!G27</f>
        <v>1403.325</v>
      </c>
      <c r="J16" s="201">
        <f>'LW 2018 Income'!H27</f>
        <v>1403.325</v>
      </c>
      <c r="K16" s="201">
        <f>'LW 2018 Income'!I27</f>
        <v>2806.65</v>
      </c>
    </row>
    <row r="17" spans="2:14" ht="16.5" thickTop="1" thickBot="1" x14ac:dyDescent="0.3">
      <c r="B17" s="170"/>
      <c r="C17" s="171"/>
      <c r="D17" s="171"/>
      <c r="E17" s="172"/>
      <c r="H17" s="49" t="s">
        <v>44</v>
      </c>
      <c r="I17" s="201">
        <f>'LW 2018 Income'!G28</f>
        <v>420.10125000000016</v>
      </c>
      <c r="J17" s="201">
        <f>'LW 2018 Income'!H28</f>
        <v>1696.4392500000004</v>
      </c>
      <c r="K17" s="201">
        <f>'LW 2018 Income'!I28</f>
        <v>2116.5405000000005</v>
      </c>
    </row>
    <row r="18" spans="2:14" ht="15.75" thickBot="1" x14ac:dyDescent="0.3">
      <c r="H18" s="148" t="s">
        <v>45</v>
      </c>
      <c r="I18" s="201">
        <f>'LW 2018 Income'!G29</f>
        <v>611.31593250000014</v>
      </c>
      <c r="J18" s="201">
        <f>'LW 2018 Income'!H29</f>
        <v>1688.4393204999997</v>
      </c>
      <c r="K18" s="201">
        <f>'LW 2018 Income'!I29</f>
        <v>2299.7552529999998</v>
      </c>
    </row>
    <row r="19" spans="2:14" ht="20.25" thickTop="1" thickBot="1" x14ac:dyDescent="0.35">
      <c r="B19" s="296" t="s">
        <v>144</v>
      </c>
      <c r="C19" s="297"/>
      <c r="H19" s="49" t="s">
        <v>46</v>
      </c>
      <c r="I19" s="201">
        <f>'LW 2018 Income'!G30</f>
        <v>0</v>
      </c>
      <c r="J19" s="201">
        <f>'LW 2018 Income'!H30</f>
        <v>0</v>
      </c>
      <c r="K19" s="201">
        <f>'LW 2018 Income'!I30</f>
        <v>0</v>
      </c>
    </row>
    <row r="20" spans="2:14" ht="16.5" thickTop="1" thickBot="1" x14ac:dyDescent="0.3">
      <c r="B20" s="159" t="s">
        <v>145</v>
      </c>
      <c r="C20" s="162">
        <f>COUNTIF(C21:C22,"&lt;18")</f>
        <v>2</v>
      </c>
      <c r="H20" s="148" t="s">
        <v>47</v>
      </c>
      <c r="I20" s="201">
        <f>'LW 2018 Income'!G31</f>
        <v>28816.477817499999</v>
      </c>
      <c r="J20" s="201">
        <f>'LW 2018 Income'!H31</f>
        <v>26463.0164295</v>
      </c>
      <c r="K20" s="201">
        <f>'LW 2018 Income'!I31</f>
        <v>55279.494246999995</v>
      </c>
      <c r="M20" s="197"/>
      <c r="N20" s="197"/>
    </row>
    <row r="21" spans="2:14" ht="16.5" thickTop="1" thickBot="1" x14ac:dyDescent="0.3">
      <c r="B21" s="159" t="s">
        <v>146</v>
      </c>
      <c r="C21" s="174">
        <v>2</v>
      </c>
    </row>
    <row r="22" spans="2:14" x14ac:dyDescent="0.25">
      <c r="B22" s="159" t="s">
        <v>147</v>
      </c>
      <c r="C22" s="174">
        <v>7</v>
      </c>
      <c r="H22" s="198" t="s">
        <v>152</v>
      </c>
      <c r="I22" s="199"/>
    </row>
    <row r="23" spans="2:14" x14ac:dyDescent="0.25">
      <c r="B23" s="159"/>
      <c r="C23" s="160"/>
      <c r="H23" s="183" t="s">
        <v>153</v>
      </c>
      <c r="I23" s="160"/>
    </row>
    <row r="24" spans="2:14" x14ac:dyDescent="0.25">
      <c r="B24" s="178" t="s">
        <v>148</v>
      </c>
      <c r="C24" s="179">
        <v>0</v>
      </c>
      <c r="D24" s="45" t="s">
        <v>149</v>
      </c>
      <c r="H24" s="184" t="s">
        <v>154</v>
      </c>
      <c r="I24" s="173">
        <v>30000</v>
      </c>
    </row>
    <row r="25" spans="2:14" x14ac:dyDescent="0.25">
      <c r="B25" s="178" t="s">
        <v>148</v>
      </c>
      <c r="C25" s="180">
        <f>C24*0</f>
        <v>0</v>
      </c>
      <c r="D25" s="45" t="s">
        <v>150</v>
      </c>
      <c r="H25" s="184" t="s">
        <v>155</v>
      </c>
      <c r="I25" s="173">
        <v>65000</v>
      </c>
    </row>
    <row r="26" spans="2:14" ht="15.75" thickBot="1" x14ac:dyDescent="0.3">
      <c r="B26" s="181" t="s">
        <v>148</v>
      </c>
      <c r="C26" s="182">
        <f>C25</f>
        <v>0</v>
      </c>
      <c r="D26" s="45" t="s">
        <v>151</v>
      </c>
      <c r="H26" s="185" t="s">
        <v>156</v>
      </c>
      <c r="I26" s="173">
        <v>6400</v>
      </c>
    </row>
    <row r="27" spans="2:14" x14ac:dyDescent="0.25">
      <c r="H27" s="185" t="s">
        <v>157</v>
      </c>
      <c r="I27" s="173">
        <v>5400</v>
      </c>
      <c r="M27" s="197"/>
      <c r="N27" s="197"/>
    </row>
    <row r="28" spans="2:14" x14ac:dyDescent="0.25">
      <c r="H28" s="183" t="s">
        <v>158</v>
      </c>
      <c r="I28" s="160"/>
    </row>
    <row r="29" spans="2:14" x14ac:dyDescent="0.25">
      <c r="H29" s="184" t="s">
        <v>154</v>
      </c>
      <c r="I29" s="173">
        <v>30450</v>
      </c>
    </row>
    <row r="30" spans="2:14" x14ac:dyDescent="0.25">
      <c r="H30" s="184" t="s">
        <v>155</v>
      </c>
      <c r="I30" s="173">
        <v>65975</v>
      </c>
    </row>
    <row r="31" spans="2:14" x14ac:dyDescent="0.25">
      <c r="H31" s="185" t="s">
        <v>156</v>
      </c>
      <c r="I31" s="173">
        <v>6496</v>
      </c>
    </row>
    <row r="32" spans="2:14" x14ac:dyDescent="0.25">
      <c r="H32" s="185" t="s">
        <v>157</v>
      </c>
      <c r="I32" s="173">
        <v>5481</v>
      </c>
    </row>
    <row r="33" spans="8:10" ht="15.75" x14ac:dyDescent="0.25">
      <c r="H33" s="186" t="s">
        <v>159</v>
      </c>
      <c r="I33" s="160"/>
    </row>
    <row r="34" spans="8:10" x14ac:dyDescent="0.25">
      <c r="H34" s="185" t="s">
        <v>160</v>
      </c>
      <c r="I34" s="175">
        <v>7.0000000000000007E-2</v>
      </c>
    </row>
    <row r="35" spans="8:10" x14ac:dyDescent="0.25">
      <c r="H35" s="185" t="s">
        <v>161</v>
      </c>
      <c r="I35" s="235">
        <v>0.13500000000000001</v>
      </c>
    </row>
    <row r="36" spans="8:10" x14ac:dyDescent="0.25">
      <c r="H36" s="185" t="s">
        <v>162</v>
      </c>
      <c r="I36" s="175">
        <v>0.19</v>
      </c>
    </row>
    <row r="37" spans="8:10" x14ac:dyDescent="0.25">
      <c r="H37" s="185" t="s">
        <v>163</v>
      </c>
      <c r="I37" s="175">
        <v>0.23</v>
      </c>
    </row>
    <row r="38" spans="8:10" ht="15.75" x14ac:dyDescent="0.25">
      <c r="H38" s="186" t="s">
        <v>164</v>
      </c>
      <c r="I38" s="187"/>
    </row>
    <row r="39" spans="8:10" x14ac:dyDescent="0.25">
      <c r="H39" s="185" t="s">
        <v>160</v>
      </c>
      <c r="I39" s="175">
        <v>3.2000000000000001E-2</v>
      </c>
    </row>
    <row r="40" spans="8:10" x14ac:dyDescent="0.25">
      <c r="H40" s="185" t="s">
        <v>161</v>
      </c>
      <c r="I40" s="235">
        <v>5.7000000000000002E-2</v>
      </c>
    </row>
    <row r="41" spans="8:10" x14ac:dyDescent="0.25">
      <c r="H41" s="185" t="s">
        <v>162</v>
      </c>
      <c r="I41" s="175">
        <v>0.08</v>
      </c>
    </row>
    <row r="42" spans="8:10" x14ac:dyDescent="0.25">
      <c r="H42" s="185" t="s">
        <v>163</v>
      </c>
      <c r="I42" s="188">
        <v>9.5000000000000001E-2</v>
      </c>
    </row>
    <row r="43" spans="8:10" ht="15.75" x14ac:dyDescent="0.25">
      <c r="H43" s="189" t="s">
        <v>165</v>
      </c>
      <c r="I43" s="190">
        <f>0.5*IF(K14&lt;I24,(I26+I27),IF(K14&lt;I25,(I26+I27-(K14-I24)*I35),(I26+I27-(I25-I24)*I35-(K14-I25)*I40)))</f>
        <v>4502.75</v>
      </c>
      <c r="J43" s="44" t="s">
        <v>166</v>
      </c>
    </row>
    <row r="44" spans="8:10" ht="15.75" x14ac:dyDescent="0.25">
      <c r="H44" s="191" t="s">
        <v>167</v>
      </c>
      <c r="I44" s="192">
        <f>0.5*IF(K14&lt;I29,(I31+I32),IF(K14&lt;I30,(I31+I32-(K14-I29)*I35),(I31+I32-(I30-I29)*I35-(K14-I30)*I40)))</f>
        <v>4621.625</v>
      </c>
      <c r="J44" s="44" t="s">
        <v>166</v>
      </c>
    </row>
    <row r="45" spans="8:10" x14ac:dyDescent="0.25">
      <c r="H45" s="159" t="s">
        <v>168</v>
      </c>
      <c r="I45" s="193">
        <f>(I26+I27-(I25-I24)*I35)/I40+I25</f>
        <v>189122.80701754385</v>
      </c>
    </row>
    <row r="46" spans="8:10" ht="15.75" thickBot="1" x14ac:dyDescent="0.3">
      <c r="H46" s="170" t="s">
        <v>169</v>
      </c>
      <c r="I46" s="194">
        <f>(I31+I32-(I30-I29)*I35)/I40+I30</f>
        <v>191959.64912280702</v>
      </c>
    </row>
    <row r="47" spans="8:10" ht="15.75" thickBot="1" x14ac:dyDescent="0.3"/>
    <row r="48" spans="8:10" x14ac:dyDescent="0.25">
      <c r="H48" s="298" t="s">
        <v>170</v>
      </c>
      <c r="I48" s="299"/>
    </row>
    <row r="49" spans="8:9" x14ac:dyDescent="0.25">
      <c r="H49" s="159" t="s">
        <v>171</v>
      </c>
      <c r="I49" s="173">
        <v>280</v>
      </c>
    </row>
    <row r="50" spans="8:9" x14ac:dyDescent="0.25">
      <c r="H50" s="159" t="s">
        <v>172</v>
      </c>
      <c r="I50" s="173">
        <v>280</v>
      </c>
    </row>
    <row r="51" spans="8:9" x14ac:dyDescent="0.25">
      <c r="H51" s="159" t="s">
        <v>173</v>
      </c>
      <c r="I51" s="173">
        <v>147</v>
      </c>
    </row>
    <row r="52" spans="8:9" x14ac:dyDescent="0.25">
      <c r="H52" s="159" t="s">
        <v>174</v>
      </c>
      <c r="I52" s="173">
        <v>36429</v>
      </c>
    </row>
    <row r="53" spans="8:9" x14ac:dyDescent="0.25">
      <c r="H53" s="159" t="s">
        <v>175</v>
      </c>
      <c r="I53" s="176">
        <v>0.05</v>
      </c>
    </row>
    <row r="54" spans="8:9" ht="15.75" thickBot="1" x14ac:dyDescent="0.3">
      <c r="H54" s="195" t="s">
        <v>176</v>
      </c>
      <c r="I54" s="177">
        <f>MAX(0,(I49+I50+(I51*C20))-IF(K14&lt;I52,0,((K14-I52)*I53)))</f>
        <v>140.44999999999993</v>
      </c>
    </row>
    <row r="69" spans="8:9" x14ac:dyDescent="0.25">
      <c r="H69" s="300"/>
      <c r="I69" s="300"/>
    </row>
    <row r="78" spans="8:9" x14ac:dyDescent="0.25">
      <c r="H78" s="295"/>
      <c r="I78" s="295"/>
    </row>
    <row r="79" spans="8:9" x14ac:dyDescent="0.25">
      <c r="H79" s="197"/>
      <c r="I79" s="197"/>
    </row>
  </sheetData>
  <mergeCells count="4">
    <mergeCell ref="H78:I78"/>
    <mergeCell ref="B19:C19"/>
    <mergeCell ref="H48:I48"/>
    <mergeCell ref="H69:I69"/>
  </mergeCells>
  <pageMargins left="0.7" right="0.7" top="0.75" bottom="0.75" header="0.3" footer="0.3"/>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1"/>
  <sheetViews>
    <sheetView topLeftCell="A84" workbookViewId="0">
      <selection activeCell="C90" sqref="C90"/>
    </sheetView>
  </sheetViews>
  <sheetFormatPr defaultColWidth="8.85546875" defaultRowHeight="15" x14ac:dyDescent="0.25"/>
  <cols>
    <col min="2" max="2" width="31.7109375" customWidth="1"/>
    <col min="3" max="3" width="10.28515625" customWidth="1"/>
    <col min="6" max="6" width="5" style="258" customWidth="1"/>
    <col min="7" max="7" width="30.140625" customWidth="1"/>
    <col min="11" max="11" width="14.7109375" customWidth="1"/>
    <col min="12" max="12" width="15.140625" customWidth="1"/>
  </cols>
  <sheetData>
    <row r="1" spans="1:14" x14ac:dyDescent="0.25">
      <c r="A1" s="44" t="s">
        <v>180</v>
      </c>
      <c r="B1" s="44"/>
      <c r="C1" s="44"/>
      <c r="D1" s="44"/>
      <c r="E1" s="44"/>
      <c r="G1" s="44"/>
      <c r="H1" s="44"/>
      <c r="I1" s="44"/>
      <c r="J1" s="44"/>
      <c r="K1" s="44"/>
      <c r="L1" s="44"/>
      <c r="M1" s="44"/>
      <c r="N1" s="44"/>
    </row>
    <row r="2" spans="1:14" x14ac:dyDescent="0.25">
      <c r="A2" s="45" t="s">
        <v>181</v>
      </c>
      <c r="B2" s="44"/>
      <c r="C2" s="44"/>
      <c r="D2" s="44"/>
      <c r="E2" s="44"/>
      <c r="G2" s="44"/>
      <c r="H2" s="44"/>
      <c r="I2" s="44"/>
      <c r="J2" s="44"/>
      <c r="K2" s="44"/>
      <c r="L2" s="44"/>
      <c r="M2" s="44"/>
      <c r="N2" s="44"/>
    </row>
    <row r="3" spans="1:14" x14ac:dyDescent="0.25">
      <c r="A3" s="44"/>
      <c r="B3" s="44"/>
      <c r="C3" s="44"/>
      <c r="D3" s="44"/>
      <c r="E3" s="44"/>
      <c r="G3" s="44"/>
      <c r="H3" s="44"/>
      <c r="I3" s="44"/>
      <c r="J3" s="44"/>
      <c r="K3" s="44"/>
      <c r="L3" s="44"/>
      <c r="M3" s="44"/>
      <c r="N3" s="44"/>
    </row>
    <row r="4" spans="1:14" x14ac:dyDescent="0.25">
      <c r="A4" s="44"/>
      <c r="B4" s="44"/>
      <c r="C4" s="44"/>
      <c r="D4" s="44"/>
      <c r="E4" s="44"/>
      <c r="G4" s="44"/>
      <c r="H4" s="44"/>
      <c r="I4" s="44"/>
      <c r="J4" s="44"/>
      <c r="K4" s="44"/>
      <c r="L4" s="44"/>
      <c r="M4" s="44"/>
      <c r="N4" s="44"/>
    </row>
    <row r="5" spans="1:14" ht="15.75" thickBot="1" x14ac:dyDescent="0.3">
      <c r="A5" s="44"/>
      <c r="B5" s="44"/>
      <c r="C5" s="44"/>
      <c r="D5" s="44"/>
      <c r="E5" s="44"/>
      <c r="G5" s="44"/>
      <c r="H5" s="44"/>
      <c r="I5" s="44"/>
      <c r="J5" s="44"/>
      <c r="K5" s="44"/>
      <c r="L5" s="44"/>
      <c r="M5" s="44"/>
      <c r="N5" s="44"/>
    </row>
    <row r="6" spans="1:14" x14ac:dyDescent="0.25">
      <c r="A6" s="44"/>
      <c r="B6" s="205" t="s">
        <v>182</v>
      </c>
      <c r="C6" s="206"/>
      <c r="D6" s="206"/>
      <c r="E6" s="206"/>
      <c r="F6" s="206"/>
      <c r="G6" s="206"/>
      <c r="H6" s="207"/>
      <c r="I6" s="44"/>
      <c r="J6" s="44"/>
      <c r="K6" s="44"/>
      <c r="L6" s="44"/>
      <c r="M6" s="44"/>
      <c r="N6" s="44"/>
    </row>
    <row r="7" spans="1:14" x14ac:dyDescent="0.25">
      <c r="A7" s="44"/>
      <c r="B7" s="159" t="s">
        <v>183</v>
      </c>
      <c r="C7" s="208">
        <v>1.6299999999999999E-2</v>
      </c>
      <c r="D7" s="169" t="s">
        <v>184</v>
      </c>
      <c r="E7" s="169"/>
      <c r="F7" s="169"/>
      <c r="G7" s="169"/>
      <c r="H7" s="160"/>
      <c r="I7" s="44"/>
      <c r="J7" s="44"/>
      <c r="K7" s="44"/>
      <c r="L7" s="44"/>
      <c r="M7" s="44"/>
      <c r="N7" s="44"/>
    </row>
    <row r="8" spans="1:14" ht="15.75" thickBot="1" x14ac:dyDescent="0.3">
      <c r="A8" s="44"/>
      <c r="B8" s="170" t="s">
        <v>185</v>
      </c>
      <c r="C8" s="209">
        <f>C7*'LW 2018 Income'!B38</f>
        <v>526.5714999999999</v>
      </c>
      <c r="D8" s="209">
        <f>C7*'LW 2018 Income'!C38</f>
        <v>526.5714999999999</v>
      </c>
      <c r="E8" s="171"/>
      <c r="F8" s="171"/>
      <c r="G8" s="171"/>
      <c r="H8" s="172"/>
      <c r="I8" s="44"/>
      <c r="J8" s="44"/>
      <c r="K8" s="44"/>
      <c r="L8" s="44"/>
      <c r="M8" s="44"/>
      <c r="N8" s="44"/>
    </row>
    <row r="9" spans="1:14" ht="15.75" thickBot="1" x14ac:dyDescent="0.3">
      <c r="A9" s="44"/>
      <c r="B9" s="44"/>
      <c r="C9" s="44"/>
      <c r="D9" s="44"/>
      <c r="E9" s="44"/>
      <c r="G9" s="44"/>
      <c r="H9" s="44"/>
      <c r="I9" s="44"/>
      <c r="J9" s="44"/>
      <c r="K9" s="44"/>
      <c r="L9" s="44"/>
      <c r="M9" s="44"/>
      <c r="N9" s="44"/>
    </row>
    <row r="10" spans="1:14" x14ac:dyDescent="0.25">
      <c r="A10" s="44"/>
      <c r="B10" s="205" t="s">
        <v>186</v>
      </c>
      <c r="C10" s="206"/>
      <c r="D10" s="207"/>
      <c r="E10" s="44"/>
      <c r="G10" s="44"/>
      <c r="H10" s="44"/>
      <c r="I10" s="44"/>
      <c r="J10" s="44"/>
      <c r="K10" s="44"/>
      <c r="L10" s="44"/>
      <c r="M10" s="44"/>
      <c r="N10" s="44"/>
    </row>
    <row r="11" spans="1:14" x14ac:dyDescent="0.25">
      <c r="A11" s="44"/>
      <c r="B11" s="159" t="s">
        <v>187</v>
      </c>
      <c r="C11" s="208">
        <v>4.9500000000000002E-2</v>
      </c>
      <c r="D11" s="160"/>
      <c r="E11" s="44"/>
      <c r="G11" s="44"/>
      <c r="H11" s="44"/>
      <c r="I11" s="44"/>
      <c r="J11" s="44"/>
      <c r="K11" s="44"/>
      <c r="L11" s="44"/>
      <c r="M11" s="44"/>
      <c r="N11" s="44"/>
    </row>
    <row r="12" spans="1:14" x14ac:dyDescent="0.25">
      <c r="A12" s="44"/>
      <c r="B12" s="159" t="s">
        <v>188</v>
      </c>
      <c r="C12" s="210">
        <v>3500</v>
      </c>
      <c r="D12" s="160"/>
      <c r="E12" s="44"/>
      <c r="G12" s="44"/>
      <c r="H12" s="44"/>
      <c r="I12" s="44"/>
      <c r="J12" s="44"/>
      <c r="K12" s="44"/>
      <c r="L12" s="44"/>
      <c r="M12" s="44"/>
      <c r="N12" s="44"/>
    </row>
    <row r="13" spans="1:14" ht="15.75" thickBot="1" x14ac:dyDescent="0.3">
      <c r="A13" s="44"/>
      <c r="B13" s="211" t="s">
        <v>189</v>
      </c>
      <c r="C13" s="212">
        <f>('LW 2018 Income'!B38-$C$12)*$C$11</f>
        <v>1425.8475000000001</v>
      </c>
      <c r="D13" s="196">
        <f>('LW 2018 Income'!C38-$C$12)*$C$11</f>
        <v>1425.8475000000001</v>
      </c>
      <c r="E13" s="44"/>
      <c r="G13" s="44"/>
      <c r="H13" s="44"/>
      <c r="I13" s="44"/>
      <c r="J13" s="44"/>
      <c r="K13" s="44"/>
      <c r="L13" s="44"/>
      <c r="M13" s="44"/>
      <c r="N13" s="44"/>
    </row>
    <row r="14" spans="1:14" x14ac:dyDescent="0.25">
      <c r="A14" s="44"/>
      <c r="B14" s="44"/>
      <c r="C14" s="44"/>
      <c r="D14" s="44"/>
      <c r="E14" s="44"/>
      <c r="G14" s="44"/>
      <c r="H14" s="44"/>
      <c r="I14" s="44"/>
      <c r="J14" s="44"/>
      <c r="K14" s="44"/>
      <c r="L14" s="44"/>
      <c r="M14" s="44"/>
      <c r="N14" s="44"/>
    </row>
    <row r="15" spans="1:14" x14ac:dyDescent="0.25">
      <c r="A15" s="44"/>
      <c r="B15" s="213" t="s">
        <v>190</v>
      </c>
      <c r="C15" s="45" t="s">
        <v>191</v>
      </c>
      <c r="D15" s="45" t="s">
        <v>192</v>
      </c>
      <c r="E15" s="44"/>
      <c r="G15" s="44"/>
      <c r="H15" s="44"/>
      <c r="I15" s="44"/>
      <c r="J15" s="44"/>
      <c r="K15" s="44"/>
      <c r="L15" s="44"/>
      <c r="M15" s="44"/>
      <c r="N15" s="44"/>
    </row>
    <row r="16" spans="1:14" x14ac:dyDescent="0.25">
      <c r="A16" s="44"/>
      <c r="B16" s="44" t="s">
        <v>193</v>
      </c>
      <c r="C16" s="214">
        <v>8481</v>
      </c>
      <c r="D16" s="214">
        <v>11635</v>
      </c>
      <c r="E16" s="44"/>
      <c r="G16" s="44"/>
      <c r="H16" s="44"/>
      <c r="I16" s="44"/>
      <c r="J16" s="44"/>
      <c r="K16" s="44"/>
      <c r="L16" s="44"/>
      <c r="M16" s="44"/>
      <c r="N16" s="44"/>
    </row>
    <row r="17" spans="1:14" x14ac:dyDescent="0.25">
      <c r="A17" s="44"/>
      <c r="B17" s="44" t="s">
        <v>194</v>
      </c>
      <c r="C17" s="215">
        <v>8481</v>
      </c>
      <c r="D17" s="44"/>
      <c r="E17" s="44"/>
      <c r="G17" s="44"/>
      <c r="H17" s="44"/>
      <c r="I17" s="44"/>
      <c r="J17" s="44"/>
      <c r="K17" s="44"/>
      <c r="L17" s="44"/>
      <c r="M17" s="44"/>
      <c r="N17" s="44"/>
    </row>
    <row r="18" spans="1:14" x14ac:dyDescent="0.25">
      <c r="A18" s="44"/>
      <c r="B18" s="44" t="s">
        <v>195</v>
      </c>
      <c r="C18" s="215">
        <v>4141</v>
      </c>
      <c r="D18" s="215">
        <v>7225</v>
      </c>
      <c r="E18" s="44"/>
      <c r="G18" s="44"/>
      <c r="H18" s="44"/>
      <c r="I18" s="44"/>
      <c r="J18" s="44"/>
      <c r="K18" s="44"/>
      <c r="L18" s="44"/>
      <c r="M18" s="44"/>
      <c r="N18" s="44"/>
    </row>
    <row r="19" spans="1:14" x14ac:dyDescent="0.25">
      <c r="A19" s="44"/>
      <c r="B19" s="44" t="s">
        <v>196</v>
      </c>
      <c r="C19" s="215">
        <v>8481</v>
      </c>
      <c r="D19" s="215">
        <v>8113</v>
      </c>
      <c r="E19" s="44"/>
      <c r="G19" s="44"/>
      <c r="H19" s="44"/>
      <c r="I19" s="44"/>
      <c r="J19" s="44"/>
      <c r="K19" s="44"/>
      <c r="L19" s="44"/>
      <c r="M19" s="44"/>
      <c r="N19" s="44"/>
    </row>
    <row r="20" spans="1:14" x14ac:dyDescent="0.25">
      <c r="A20" s="44"/>
      <c r="B20" s="44" t="s">
        <v>197</v>
      </c>
      <c r="C20" s="216">
        <v>0.03</v>
      </c>
      <c r="D20" s="216">
        <v>0.03</v>
      </c>
      <c r="E20" s="44"/>
      <c r="G20" s="44"/>
      <c r="H20" s="44"/>
      <c r="I20" s="44"/>
      <c r="J20" s="44"/>
      <c r="K20" s="44"/>
      <c r="L20" s="44"/>
      <c r="M20" s="44"/>
      <c r="N20" s="44"/>
    </row>
    <row r="21" spans="1:14" x14ac:dyDescent="0.25">
      <c r="A21" s="44"/>
      <c r="B21" s="44" t="s">
        <v>198</v>
      </c>
      <c r="C21" s="217">
        <v>8.7900000000000006E-2</v>
      </c>
      <c r="D21" s="216">
        <v>0.15</v>
      </c>
      <c r="E21" s="44"/>
      <c r="G21" s="44"/>
      <c r="H21" s="44"/>
      <c r="I21" s="44"/>
      <c r="J21" s="44"/>
      <c r="K21" s="44"/>
      <c r="L21" s="44"/>
      <c r="M21" s="44"/>
      <c r="N21" s="44"/>
    </row>
    <row r="22" spans="1:14" x14ac:dyDescent="0.25">
      <c r="A22" s="44"/>
      <c r="B22" s="44" t="s">
        <v>199</v>
      </c>
      <c r="C22" s="214"/>
      <c r="D22" s="218">
        <v>1178</v>
      </c>
      <c r="E22" s="44"/>
      <c r="G22" s="44"/>
      <c r="H22" s="44"/>
      <c r="I22" s="44"/>
      <c r="J22" s="44"/>
      <c r="K22" s="44"/>
      <c r="L22" s="44"/>
      <c r="M22" s="44"/>
      <c r="N22" s="44"/>
    </row>
    <row r="23" spans="1:14" s="269" customFormat="1" x14ac:dyDescent="0.25">
      <c r="B23" s="269" t="s">
        <v>255</v>
      </c>
      <c r="C23" s="214">
        <v>100</v>
      </c>
      <c r="D23" s="218"/>
    </row>
    <row r="24" spans="1:14" x14ac:dyDescent="0.25">
      <c r="A24" s="44"/>
      <c r="B24" s="44"/>
      <c r="C24" s="44"/>
      <c r="D24" s="44"/>
      <c r="E24" s="44"/>
      <c r="G24" s="44"/>
      <c r="H24" s="44"/>
      <c r="I24" s="44"/>
      <c r="J24" s="44"/>
      <c r="K24" s="44"/>
      <c r="L24" s="44"/>
      <c r="M24" s="44"/>
      <c r="N24" s="44"/>
    </row>
    <row r="25" spans="1:14" x14ac:dyDescent="0.25">
      <c r="A25" s="44"/>
      <c r="B25" s="149" t="s">
        <v>237</v>
      </c>
      <c r="C25" s="44"/>
      <c r="D25" s="44"/>
      <c r="E25" s="44"/>
      <c r="G25" s="44"/>
      <c r="H25" s="44"/>
      <c r="I25" s="44"/>
      <c r="J25" s="44"/>
      <c r="K25" s="44"/>
      <c r="L25" s="44"/>
      <c r="M25" s="44"/>
      <c r="N25" s="44"/>
    </row>
    <row r="26" spans="1:14" x14ac:dyDescent="0.25">
      <c r="A26" s="44"/>
      <c r="B26" s="44" t="s">
        <v>200</v>
      </c>
      <c r="C26" s="215">
        <v>15000</v>
      </c>
      <c r="D26" s="44"/>
      <c r="E26" s="44"/>
      <c r="G26" s="44"/>
      <c r="H26" s="44"/>
      <c r="I26" s="44"/>
      <c r="J26" s="44"/>
      <c r="K26" s="44"/>
      <c r="L26" s="44"/>
      <c r="M26" s="44"/>
      <c r="N26" s="44"/>
    </row>
    <row r="27" spans="1:14" ht="15.75" thickBot="1" x14ac:dyDescent="0.3">
      <c r="A27" s="44"/>
      <c r="B27" s="44" t="s">
        <v>201</v>
      </c>
      <c r="C27" s="219">
        <v>0.05</v>
      </c>
      <c r="D27" s="44"/>
      <c r="E27" s="44"/>
      <c r="G27" s="44"/>
      <c r="H27" s="44"/>
      <c r="I27" s="44"/>
      <c r="J27" s="44"/>
      <c r="K27" s="44"/>
      <c r="L27" s="44"/>
      <c r="M27" s="44"/>
      <c r="N27" s="44"/>
    </row>
    <row r="28" spans="1:14" x14ac:dyDescent="0.25">
      <c r="A28" s="44"/>
      <c r="B28" s="44" t="s">
        <v>202</v>
      </c>
      <c r="C28" s="215">
        <f>300+300+165*2</f>
        <v>930</v>
      </c>
      <c r="D28" s="44"/>
      <c r="E28" s="44"/>
      <c r="G28" s="205" t="s">
        <v>228</v>
      </c>
      <c r="H28" s="237" t="s">
        <v>224</v>
      </c>
      <c r="I28" s="238" t="s">
        <v>217</v>
      </c>
      <c r="J28" s="100" t="s">
        <v>225</v>
      </c>
      <c r="K28" s="44"/>
      <c r="L28" s="44"/>
      <c r="M28" s="44"/>
      <c r="N28" s="44"/>
    </row>
    <row r="29" spans="1:14" ht="15.75" thickBot="1" x14ac:dyDescent="0.3">
      <c r="A29" s="44"/>
      <c r="B29" s="220" t="s">
        <v>203</v>
      </c>
      <c r="C29" s="253">
        <f>MAX(0,(C28-(('LW 2018 Income'!D40-C26)*'table 4 calculations'!C27)))</f>
        <v>0</v>
      </c>
      <c r="D29" s="44" t="s">
        <v>204</v>
      </c>
      <c r="E29" s="44"/>
      <c r="G29" s="159" t="s">
        <v>210</v>
      </c>
      <c r="H29" s="239">
        <f>C16</f>
        <v>8481</v>
      </c>
      <c r="I29" s="240">
        <f>C16</f>
        <v>8481</v>
      </c>
      <c r="J29" s="44"/>
      <c r="K29" s="44"/>
      <c r="L29" s="44"/>
      <c r="M29" s="44"/>
      <c r="N29" s="44"/>
    </row>
    <row r="30" spans="1:14" ht="16.5" thickTop="1" thickBot="1" x14ac:dyDescent="0.3">
      <c r="A30" s="44"/>
      <c r="B30" s="44"/>
      <c r="C30" s="44"/>
      <c r="D30" s="44"/>
      <c r="E30" s="44"/>
      <c r="G30" s="159" t="s">
        <v>221</v>
      </c>
      <c r="H30" s="241">
        <f>C8</f>
        <v>526.5714999999999</v>
      </c>
      <c r="I30" s="242">
        <f>D8</f>
        <v>526.5714999999999</v>
      </c>
      <c r="J30" s="44"/>
      <c r="K30" s="44"/>
      <c r="L30" s="44"/>
      <c r="M30" s="44"/>
      <c r="N30" s="44"/>
    </row>
    <row r="31" spans="1:14" ht="16.5" thickTop="1" thickBot="1" x14ac:dyDescent="0.3">
      <c r="A31" s="44"/>
      <c r="B31" s="213" t="s">
        <v>218</v>
      </c>
      <c r="D31" s="44"/>
      <c r="E31" s="44"/>
      <c r="G31" s="159" t="s">
        <v>222</v>
      </c>
      <c r="H31" s="239">
        <f>C13</f>
        <v>1425.8475000000001</v>
      </c>
      <c r="I31" s="240">
        <f>D13</f>
        <v>1425.8475000000001</v>
      </c>
      <c r="J31" s="44"/>
      <c r="K31" s="44"/>
      <c r="L31" s="44"/>
      <c r="M31" s="269"/>
      <c r="N31" s="44"/>
    </row>
    <row r="32" spans="1:14" ht="16.5" thickTop="1" thickBot="1" x14ac:dyDescent="0.3">
      <c r="A32" s="44"/>
      <c r="B32" s="44" t="s">
        <v>205</v>
      </c>
      <c r="C32" s="44" t="s">
        <v>206</v>
      </c>
      <c r="D32" s="44" t="s">
        <v>207</v>
      </c>
      <c r="E32" s="44" t="s">
        <v>235</v>
      </c>
      <c r="G32" s="159" t="s">
        <v>226</v>
      </c>
      <c r="H32" s="169"/>
      <c r="I32" s="244">
        <f>L35</f>
        <v>1334</v>
      </c>
      <c r="J32" s="44"/>
      <c r="K32" s="301" t="s">
        <v>28</v>
      </c>
      <c r="L32" s="302"/>
      <c r="M32" s="269" t="s">
        <v>217</v>
      </c>
      <c r="N32" s="44"/>
    </row>
    <row r="33" spans="1:14" ht="16.5" thickTop="1" thickBot="1" x14ac:dyDescent="0.3">
      <c r="A33" s="44"/>
      <c r="B33" s="214">
        <v>0</v>
      </c>
      <c r="C33" s="214">
        <v>29590</v>
      </c>
      <c r="D33" s="217">
        <v>8.7900000000000006E-2</v>
      </c>
      <c r="E33" s="215"/>
      <c r="G33" s="159" t="s">
        <v>227</v>
      </c>
      <c r="H33" s="246">
        <f>'LW 2018 Income'!C12-'LW 2018 Income'!B40*C20</f>
        <v>1398.5700000000002</v>
      </c>
      <c r="I33" s="160"/>
      <c r="J33" s="44"/>
      <c r="K33" s="231" t="s">
        <v>24</v>
      </c>
      <c r="L33" s="232">
        <f>'Family Expenses'!B35*2</f>
        <v>854</v>
      </c>
      <c r="M33" s="269" t="s">
        <v>257</v>
      </c>
      <c r="N33" s="44"/>
    </row>
    <row r="34" spans="1:14" ht="16.5" thickTop="1" thickBot="1" x14ac:dyDescent="0.3">
      <c r="A34" s="44"/>
      <c r="B34" s="214">
        <v>29591</v>
      </c>
      <c r="C34" s="214">
        <v>59180</v>
      </c>
      <c r="D34" s="217">
        <v>0.14949999999999999</v>
      </c>
      <c r="E34" s="214">
        <v>2610</v>
      </c>
      <c r="G34" s="159" t="s">
        <v>256</v>
      </c>
      <c r="H34" s="221">
        <f>C23*12</f>
        <v>1200</v>
      </c>
      <c r="I34" s="160"/>
      <c r="J34" s="44"/>
      <c r="K34" s="231" t="s">
        <v>31</v>
      </c>
      <c r="L34" s="232">
        <f>60*8</f>
        <v>480</v>
      </c>
      <c r="M34" s="269"/>
      <c r="N34" s="44"/>
    </row>
    <row r="35" spans="1:14" ht="16.5" thickTop="1" thickBot="1" x14ac:dyDescent="0.3">
      <c r="A35" s="44"/>
      <c r="B35" s="215">
        <v>59181</v>
      </c>
      <c r="C35" s="215">
        <v>93000</v>
      </c>
      <c r="D35" s="222">
        <v>0.16669999999999999</v>
      </c>
      <c r="E35" s="215">
        <v>7025</v>
      </c>
      <c r="G35" s="247" t="s">
        <v>231</v>
      </c>
      <c r="H35" s="246">
        <f>'LW 2018 Income'!B40*$D$33</f>
        <v>1696.9095000000002</v>
      </c>
      <c r="I35" s="249">
        <f>E34+('LW 2018 Income'!C40-B34)*'table 4 calculations'!D34</f>
        <v>3015.7429999999999</v>
      </c>
      <c r="J35" s="44" t="s">
        <v>236</v>
      </c>
      <c r="K35" s="233" t="s">
        <v>16</v>
      </c>
      <c r="L35" s="234">
        <f>SUM(L33:L34)</f>
        <v>1334</v>
      </c>
      <c r="M35" s="269"/>
      <c r="N35" s="44"/>
    </row>
    <row r="36" spans="1:14" x14ac:dyDescent="0.25">
      <c r="A36" s="44"/>
      <c r="B36" s="215">
        <v>93001</v>
      </c>
      <c r="C36" s="215">
        <v>150000</v>
      </c>
      <c r="D36" s="222">
        <v>0.17499999999999999</v>
      </c>
      <c r="E36" s="215">
        <v>12662</v>
      </c>
      <c r="G36" s="247" t="s">
        <v>232</v>
      </c>
      <c r="H36" s="246">
        <f>(H29+H30+H31+H32+H33+H34)*$C$21</f>
        <v>1145.5118331000001</v>
      </c>
      <c r="I36" s="249">
        <f>(I29+I30+I31+I32+I33)*$C$21-C29</f>
        <v>1034.3561301</v>
      </c>
      <c r="J36" s="44"/>
      <c r="K36" s="44"/>
      <c r="L36" s="44"/>
      <c r="M36" s="269"/>
      <c r="N36" s="44"/>
    </row>
    <row r="37" spans="1:14" x14ac:dyDescent="0.25">
      <c r="A37" s="44"/>
      <c r="B37" s="215">
        <v>150001</v>
      </c>
      <c r="C37" s="215"/>
      <c r="D37" s="222">
        <v>0.21</v>
      </c>
      <c r="E37" s="215">
        <v>22637</v>
      </c>
      <c r="G37" s="247" t="s">
        <v>233</v>
      </c>
      <c r="H37" s="169"/>
      <c r="I37" s="160"/>
      <c r="J37" s="44"/>
      <c r="K37" s="44"/>
      <c r="L37" s="44"/>
      <c r="M37" s="269"/>
      <c r="N37" s="44"/>
    </row>
    <row r="38" spans="1:14" ht="15.75" thickBot="1" x14ac:dyDescent="0.3">
      <c r="A38" s="44"/>
      <c r="B38" s="44" t="s">
        <v>208</v>
      </c>
      <c r="C38" s="44"/>
      <c r="D38" s="44"/>
      <c r="E38" s="44"/>
      <c r="G38" s="250" t="s">
        <v>238</v>
      </c>
      <c r="H38" s="212">
        <f>H35-H36-H37</f>
        <v>551.3976669000001</v>
      </c>
      <c r="I38" s="196">
        <f>I35-I36-I37</f>
        <v>1981.3868699</v>
      </c>
      <c r="J38" s="44"/>
      <c r="K38" s="44"/>
      <c r="L38" s="44"/>
      <c r="M38" s="269"/>
      <c r="N38" s="44"/>
    </row>
    <row r="39" spans="1:14" x14ac:dyDescent="0.25">
      <c r="A39" s="44"/>
      <c r="B39" s="213" t="s">
        <v>219</v>
      </c>
      <c r="C39" s="44"/>
      <c r="D39" s="44"/>
      <c r="E39" s="44"/>
      <c r="G39" s="205" t="s">
        <v>220</v>
      </c>
      <c r="H39" s="237" t="s">
        <v>224</v>
      </c>
      <c r="I39" s="238" t="s">
        <v>217</v>
      </c>
      <c r="J39" s="100" t="s">
        <v>225</v>
      </c>
      <c r="K39" s="44"/>
      <c r="L39" s="44"/>
      <c r="M39" s="269"/>
      <c r="N39" s="44"/>
    </row>
    <row r="40" spans="1:14" ht="15.75" thickBot="1" x14ac:dyDescent="0.3">
      <c r="A40" s="44"/>
      <c r="B40" s="44" t="s">
        <v>205</v>
      </c>
      <c r="C40" s="44" t="s">
        <v>206</v>
      </c>
      <c r="D40" s="44" t="s">
        <v>207</v>
      </c>
      <c r="E40" s="44"/>
      <c r="G40" s="159" t="s">
        <v>210</v>
      </c>
      <c r="H40" s="239">
        <f>D16</f>
        <v>11635</v>
      </c>
      <c r="I40" s="240">
        <f>D16</f>
        <v>11635</v>
      </c>
      <c r="J40" s="44"/>
      <c r="K40" s="44"/>
      <c r="L40" s="44"/>
      <c r="M40" s="269"/>
      <c r="N40" s="44"/>
    </row>
    <row r="41" spans="1:14" ht="16.5" thickTop="1" thickBot="1" x14ac:dyDescent="0.3">
      <c r="A41" s="44"/>
      <c r="B41" s="214">
        <v>0</v>
      </c>
      <c r="C41" s="214">
        <v>46605</v>
      </c>
      <c r="D41" s="217">
        <v>0.15</v>
      </c>
      <c r="E41" s="44"/>
      <c r="G41" s="159" t="s">
        <v>221</v>
      </c>
      <c r="H41" s="241">
        <f>C8</f>
        <v>526.5714999999999</v>
      </c>
      <c r="I41" s="242">
        <f>D8</f>
        <v>526.5714999999999</v>
      </c>
      <c r="J41" s="44"/>
      <c r="K41" s="44"/>
      <c r="L41" s="44"/>
      <c r="M41" s="269"/>
      <c r="N41" s="44"/>
    </row>
    <row r="42" spans="1:14" ht="16.5" thickTop="1" thickBot="1" x14ac:dyDescent="0.3">
      <c r="A42" s="44"/>
      <c r="B42" s="215">
        <v>46606</v>
      </c>
      <c r="C42" s="215">
        <v>93208</v>
      </c>
      <c r="D42" s="222">
        <v>0.20499999999999999</v>
      </c>
      <c r="E42" s="44"/>
      <c r="G42" s="159" t="s">
        <v>222</v>
      </c>
      <c r="H42" s="239">
        <f>C13</f>
        <v>1425.8475000000001</v>
      </c>
      <c r="I42" s="240">
        <f>D13</f>
        <v>1425.8475000000001</v>
      </c>
      <c r="J42" s="44"/>
      <c r="K42" s="44"/>
      <c r="L42" s="44"/>
      <c r="M42" s="269"/>
      <c r="N42" s="44"/>
    </row>
    <row r="43" spans="1:14" ht="16.5" thickTop="1" thickBot="1" x14ac:dyDescent="0.3">
      <c r="A43" s="44"/>
      <c r="B43" s="215">
        <v>93209</v>
      </c>
      <c r="C43" s="215">
        <v>144489</v>
      </c>
      <c r="D43" s="222">
        <v>0.26</v>
      </c>
      <c r="E43" s="44"/>
      <c r="G43" s="159" t="s">
        <v>223</v>
      </c>
      <c r="H43" s="243">
        <f>D22</f>
        <v>1178</v>
      </c>
      <c r="I43" s="244">
        <f>D22</f>
        <v>1178</v>
      </c>
      <c r="J43" s="44"/>
      <c r="K43" s="44"/>
      <c r="L43" s="44"/>
      <c r="M43" s="269"/>
      <c r="N43" s="44"/>
    </row>
    <row r="44" spans="1:14" ht="16.5" thickTop="1" thickBot="1" x14ac:dyDescent="0.3">
      <c r="A44" s="44"/>
      <c r="B44" s="215">
        <v>144490</v>
      </c>
      <c r="C44" s="215">
        <v>205842</v>
      </c>
      <c r="D44" s="222">
        <v>0.28999999999999998</v>
      </c>
      <c r="E44" s="44"/>
      <c r="G44" s="159" t="s">
        <v>226</v>
      </c>
      <c r="H44" s="169"/>
      <c r="I44" s="245">
        <f>L51</f>
        <v>854</v>
      </c>
      <c r="J44" s="44" t="s">
        <v>229</v>
      </c>
      <c r="K44" s="44"/>
      <c r="L44" s="44"/>
      <c r="M44" s="269"/>
      <c r="N44" s="44"/>
    </row>
    <row r="45" spans="1:14" ht="15.75" thickTop="1" x14ac:dyDescent="0.25">
      <c r="A45" s="44"/>
      <c r="B45" s="215">
        <v>205843</v>
      </c>
      <c r="C45" s="215"/>
      <c r="D45" s="222">
        <v>0.33</v>
      </c>
      <c r="E45" s="44"/>
      <c r="G45" s="159" t="s">
        <v>227</v>
      </c>
      <c r="H45" s="246">
        <f>'LW 2018 Income'!C12-'LW 2018 Income'!B40*D20</f>
        <v>1398.5700000000002</v>
      </c>
      <c r="I45" s="160"/>
      <c r="J45" s="44"/>
      <c r="K45" s="44"/>
      <c r="L45" s="44"/>
      <c r="M45" s="269"/>
      <c r="N45" s="44"/>
    </row>
    <row r="46" spans="1:14" s="270" customFormat="1" x14ac:dyDescent="0.25">
      <c r="B46" s="215"/>
      <c r="C46" s="215"/>
      <c r="D46" s="222"/>
      <c r="G46" s="159" t="s">
        <v>259</v>
      </c>
      <c r="I46" s="221">
        <f>'Family Expenses'!B29*0.5</f>
        <v>330</v>
      </c>
    </row>
    <row r="47" spans="1:14" x14ac:dyDescent="0.25">
      <c r="A47" s="44"/>
      <c r="B47" s="44"/>
      <c r="C47" s="44"/>
      <c r="D47" s="44"/>
      <c r="E47" s="44"/>
      <c r="G47" s="159"/>
      <c r="H47" s="169"/>
      <c r="I47" s="160"/>
      <c r="J47" s="44"/>
      <c r="K47" s="303" t="s">
        <v>230</v>
      </c>
      <c r="L47" s="304"/>
      <c r="M47" s="269" t="s">
        <v>217</v>
      </c>
      <c r="N47" s="44"/>
    </row>
    <row r="48" spans="1:14" ht="15.75" thickBot="1" x14ac:dyDescent="0.3">
      <c r="A48" s="44"/>
      <c r="B48" s="213" t="s">
        <v>209</v>
      </c>
      <c r="C48" s="44"/>
      <c r="D48" s="44"/>
      <c r="E48" s="44"/>
      <c r="G48" s="247" t="s">
        <v>231</v>
      </c>
      <c r="H48" s="248">
        <f>'LW 2018 Income'!B40*$D$41</f>
        <v>2895.75</v>
      </c>
      <c r="I48" s="249">
        <f>'LW 2018 Income'!C40*$D$41</f>
        <v>4845.75</v>
      </c>
      <c r="J48" s="44"/>
      <c r="K48" s="12" t="s">
        <v>24</v>
      </c>
      <c r="L48" s="229">
        <f>'Family Expenses'!B35*2</f>
        <v>854</v>
      </c>
      <c r="M48" s="269"/>
      <c r="N48" s="44"/>
    </row>
    <row r="49" spans="1:14" ht="15.75" thickTop="1" x14ac:dyDescent="0.25">
      <c r="A49" s="44"/>
      <c r="B49" s="44" t="s">
        <v>210</v>
      </c>
      <c r="C49" s="214">
        <v>3000</v>
      </c>
      <c r="D49" s="44"/>
      <c r="E49" s="44"/>
      <c r="G49" s="247" t="s">
        <v>232</v>
      </c>
      <c r="H49" s="246">
        <f>(H40+H41+H42+H43+H45+H44)*$D$21</f>
        <v>2424.5983499999998</v>
      </c>
      <c r="I49" s="249">
        <f>SUM(I40:I47)*$D$21</f>
        <v>2392.4128499999997</v>
      </c>
      <c r="J49" s="44"/>
      <c r="K49" s="12" t="s">
        <v>25</v>
      </c>
      <c r="L49" s="11">
        <v>0</v>
      </c>
      <c r="M49" s="269" t="s">
        <v>258</v>
      </c>
      <c r="N49" s="44"/>
    </row>
    <row r="50" spans="1:14" x14ac:dyDescent="0.25">
      <c r="A50" s="44"/>
      <c r="B50" s="44" t="s">
        <v>211</v>
      </c>
      <c r="C50" s="216">
        <v>0.25</v>
      </c>
      <c r="D50" s="44"/>
      <c r="E50" s="44"/>
      <c r="G50" s="247" t="s">
        <v>233</v>
      </c>
      <c r="H50" s="246">
        <f>C58</f>
        <v>0</v>
      </c>
      <c r="I50" s="249">
        <f>C55</f>
        <v>0</v>
      </c>
      <c r="J50" s="44"/>
      <c r="K50" s="12" t="s">
        <v>26</v>
      </c>
      <c r="L50" s="11">
        <v>0</v>
      </c>
      <c r="M50" s="269" t="s">
        <v>258</v>
      </c>
      <c r="N50" s="44"/>
    </row>
    <row r="51" spans="1:14" ht="15.75" thickBot="1" x14ac:dyDescent="0.3">
      <c r="A51" s="44"/>
      <c r="B51" s="44" t="s">
        <v>212</v>
      </c>
      <c r="C51" s="214">
        <v>1894</v>
      </c>
      <c r="D51" s="44"/>
      <c r="E51" s="44"/>
      <c r="G51" s="250" t="s">
        <v>234</v>
      </c>
      <c r="H51" s="251">
        <f>H48-H49-H50</f>
        <v>471.15165000000025</v>
      </c>
      <c r="I51" s="252">
        <f>I48-I49-I50</f>
        <v>2453.3371500000003</v>
      </c>
      <c r="J51" s="44"/>
      <c r="K51" s="31" t="s">
        <v>16</v>
      </c>
      <c r="L51" s="230">
        <f>SUM(L48:L50)</f>
        <v>854</v>
      </c>
      <c r="M51" s="269"/>
      <c r="N51" s="44"/>
    </row>
    <row r="52" spans="1:14" x14ac:dyDescent="0.25">
      <c r="A52" s="44"/>
      <c r="B52" s="44" t="s">
        <v>213</v>
      </c>
      <c r="C52" s="214">
        <v>28975</v>
      </c>
      <c r="D52" s="44"/>
      <c r="E52" s="44"/>
      <c r="G52" s="44"/>
      <c r="H52" s="44"/>
      <c r="I52" s="44"/>
      <c r="J52" s="44"/>
      <c r="K52" s="44"/>
      <c r="L52" s="44"/>
      <c r="M52" s="44"/>
      <c r="N52" s="44"/>
    </row>
    <row r="53" spans="1:14" x14ac:dyDescent="0.25">
      <c r="A53" s="44"/>
      <c r="B53" s="44" t="s">
        <v>214</v>
      </c>
      <c r="C53" s="214">
        <v>16348</v>
      </c>
      <c r="D53" s="44"/>
      <c r="E53" s="44"/>
      <c r="G53" s="44"/>
      <c r="H53" s="44"/>
      <c r="I53" s="44"/>
      <c r="J53" s="44"/>
      <c r="K53" s="44"/>
      <c r="L53" s="44"/>
      <c r="M53" s="44"/>
      <c r="N53" s="44"/>
    </row>
    <row r="54" spans="1:14" x14ac:dyDescent="0.25">
      <c r="A54" s="44"/>
      <c r="B54" s="44" t="s">
        <v>215</v>
      </c>
      <c r="C54" s="216">
        <v>0.15</v>
      </c>
      <c r="D54" s="44"/>
      <c r="E54" s="44"/>
      <c r="G54" s="44"/>
      <c r="H54" s="44"/>
      <c r="I54" s="44"/>
      <c r="J54" s="44"/>
      <c r="K54" s="44"/>
      <c r="L54" s="44"/>
      <c r="M54" s="44"/>
      <c r="N54" s="44"/>
    </row>
    <row r="55" spans="1:14" x14ac:dyDescent="0.25">
      <c r="A55" s="44"/>
      <c r="B55" s="44" t="s">
        <v>216</v>
      </c>
      <c r="C55" s="221">
        <v>0</v>
      </c>
      <c r="D55" s="44" t="s">
        <v>217</v>
      </c>
      <c r="E55" s="44" t="s">
        <v>242</v>
      </c>
      <c r="G55" s="44"/>
      <c r="H55" s="44"/>
      <c r="I55" s="44"/>
      <c r="J55" s="44"/>
      <c r="K55" s="44"/>
      <c r="L55" s="44"/>
      <c r="M55" s="44"/>
      <c r="N55" s="44"/>
    </row>
    <row r="56" spans="1:14" x14ac:dyDescent="0.25">
      <c r="A56" s="44"/>
      <c r="B56" s="44"/>
      <c r="C56" s="44"/>
      <c r="D56" s="44"/>
      <c r="E56" s="44"/>
      <c r="G56" s="44"/>
      <c r="H56" s="44"/>
      <c r="I56" s="44"/>
      <c r="J56" s="44"/>
      <c r="K56" s="44"/>
      <c r="L56" s="44"/>
      <c r="M56" s="44"/>
      <c r="N56" s="44"/>
    </row>
    <row r="57" spans="1:14" x14ac:dyDescent="0.25">
      <c r="A57" s="44"/>
      <c r="B57" s="223" t="s">
        <v>239</v>
      </c>
      <c r="C57" s="44"/>
      <c r="D57" s="44"/>
      <c r="E57" s="44"/>
      <c r="G57" s="44"/>
      <c r="H57" s="44"/>
      <c r="I57" s="44"/>
      <c r="J57" s="44"/>
      <c r="K57" s="44"/>
      <c r="L57" s="44"/>
      <c r="M57" s="44"/>
      <c r="N57" s="44"/>
    </row>
    <row r="58" spans="1:14" x14ac:dyDescent="0.25">
      <c r="A58" s="44"/>
      <c r="B58" s="236" t="s">
        <v>240</v>
      </c>
      <c r="C58" s="221">
        <v>0</v>
      </c>
      <c r="D58" s="44" t="s">
        <v>224</v>
      </c>
      <c r="E58" s="44" t="s">
        <v>242</v>
      </c>
      <c r="G58" s="44"/>
      <c r="H58" s="44"/>
      <c r="I58" s="44"/>
      <c r="J58" s="44"/>
      <c r="K58" s="44"/>
      <c r="L58" s="44"/>
      <c r="M58" s="44"/>
      <c r="N58" s="44"/>
    </row>
    <row r="59" spans="1:14" x14ac:dyDescent="0.25">
      <c r="A59" s="44"/>
      <c r="B59" s="44"/>
      <c r="C59" s="44"/>
      <c r="D59" s="44"/>
      <c r="E59" s="44"/>
      <c r="G59" s="44"/>
      <c r="H59" s="44"/>
      <c r="I59" s="44"/>
      <c r="J59" s="44"/>
      <c r="K59" s="44"/>
      <c r="L59" s="44"/>
      <c r="M59" s="44"/>
      <c r="N59" s="44"/>
    </row>
    <row r="60" spans="1:14" x14ac:dyDescent="0.25">
      <c r="A60" s="44"/>
      <c r="B60" s="44"/>
      <c r="C60" s="44"/>
      <c r="D60" s="44"/>
      <c r="E60" s="44"/>
      <c r="G60" s="44"/>
      <c r="H60" s="44"/>
      <c r="I60" s="44"/>
      <c r="J60" s="44"/>
      <c r="K60" s="44"/>
      <c r="L60" s="44"/>
      <c r="M60" s="44"/>
      <c r="N60" s="44"/>
    </row>
    <row r="61" spans="1:14" x14ac:dyDescent="0.25">
      <c r="A61" s="44"/>
      <c r="B61" s="44"/>
      <c r="C61" s="44"/>
      <c r="D61" s="44"/>
      <c r="E61" s="44"/>
      <c r="G61" s="44"/>
      <c r="H61" s="44"/>
      <c r="I61" s="44"/>
      <c r="J61" s="44"/>
      <c r="K61" s="44"/>
      <c r="L61" s="44"/>
      <c r="M61" s="44"/>
      <c r="N61" s="44"/>
    </row>
  </sheetData>
  <mergeCells count="2">
    <mergeCell ref="K32:L32"/>
    <mergeCell ref="K47:L47"/>
  </mergeCells>
  <pageMargins left="0.7" right="0.7" top="0.75" bottom="0.75" header="0.3" footer="0.3"/>
  <pageSetup orientation="portrait" horizontalDpi="0" verticalDpi="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I11" sqref="I11"/>
    </sheetView>
  </sheetViews>
  <sheetFormatPr defaultColWidth="8.85546875" defaultRowHeight="15" x14ac:dyDescent="0.25"/>
  <cols>
    <col min="1" max="1" width="26.85546875" customWidth="1"/>
    <col min="2" max="2" width="27.42578125" customWidth="1"/>
    <col min="8" max="8" width="8.85546875" style="44"/>
    <col min="10" max="10" width="19.28515625" customWidth="1"/>
    <col min="11" max="11" width="12.7109375" customWidth="1"/>
    <col min="13" max="13" width="12.140625" customWidth="1"/>
  </cols>
  <sheetData>
    <row r="1" spans="1:14" x14ac:dyDescent="0.25">
      <c r="A1" s="45" t="s">
        <v>56</v>
      </c>
      <c r="B1" s="44"/>
      <c r="C1" s="44"/>
      <c r="D1" s="44"/>
      <c r="E1" s="44"/>
      <c r="F1" s="44"/>
      <c r="G1" s="44"/>
      <c r="I1" s="44"/>
      <c r="J1" s="44"/>
      <c r="K1" s="44"/>
      <c r="L1" s="44"/>
      <c r="M1" s="44"/>
    </row>
    <row r="2" spans="1:14" x14ac:dyDescent="0.25">
      <c r="A2" s="44" t="s">
        <v>57</v>
      </c>
      <c r="B2" s="44"/>
      <c r="C2" s="44"/>
      <c r="D2" s="44"/>
      <c r="E2" s="44"/>
      <c r="F2" s="44"/>
      <c r="G2" s="44"/>
    </row>
    <row r="3" spans="1:14" x14ac:dyDescent="0.25">
      <c r="A3" s="44" t="s">
        <v>58</v>
      </c>
      <c r="B3" s="44"/>
      <c r="C3" s="44"/>
      <c r="D3" s="44"/>
      <c r="E3" s="44"/>
      <c r="F3" s="44"/>
      <c r="G3" s="44"/>
      <c r="J3" s="44"/>
      <c r="K3" s="44"/>
      <c r="L3" s="44"/>
      <c r="M3" s="44"/>
      <c r="N3" s="44"/>
    </row>
    <row r="4" spans="1:14" x14ac:dyDescent="0.25">
      <c r="A4" s="44" t="s">
        <v>71</v>
      </c>
      <c r="B4" s="44" t="s">
        <v>59</v>
      </c>
      <c r="C4" s="44"/>
      <c r="D4" s="44"/>
      <c r="E4" s="44"/>
      <c r="F4" s="44">
        <v>2015</v>
      </c>
      <c r="G4" s="45">
        <v>2016</v>
      </c>
      <c r="H4" s="45">
        <v>2017</v>
      </c>
      <c r="J4" s="44"/>
      <c r="K4" s="44"/>
      <c r="L4" s="44"/>
      <c r="M4" s="44"/>
      <c r="N4" s="44"/>
    </row>
    <row r="5" spans="1:14" x14ac:dyDescent="0.25">
      <c r="A5" s="44" t="s">
        <v>60</v>
      </c>
      <c r="B5" s="44" t="s">
        <v>72</v>
      </c>
      <c r="C5" s="44"/>
      <c r="D5" s="44"/>
      <c r="E5" s="44"/>
      <c r="F5" s="44"/>
      <c r="G5" s="44">
        <v>130.9</v>
      </c>
      <c r="H5" s="44">
        <v>132.4</v>
      </c>
      <c r="J5" s="44"/>
      <c r="K5" s="44"/>
      <c r="L5" s="44"/>
      <c r="M5" s="44"/>
      <c r="N5" s="44"/>
    </row>
    <row r="6" spans="1:14" x14ac:dyDescent="0.25">
      <c r="A6" s="44" t="s">
        <v>60</v>
      </c>
      <c r="B6" s="44" t="s">
        <v>9</v>
      </c>
      <c r="C6" s="44"/>
      <c r="D6" s="44"/>
      <c r="E6" s="44"/>
      <c r="F6" s="44"/>
      <c r="G6" s="44">
        <v>122.6</v>
      </c>
      <c r="H6" s="44">
        <v>126.4</v>
      </c>
      <c r="J6" s="44"/>
      <c r="K6" s="44"/>
      <c r="L6" s="44"/>
      <c r="M6" s="44"/>
      <c r="N6" s="44"/>
    </row>
    <row r="7" spans="1:14" x14ac:dyDescent="0.25">
      <c r="A7" s="44" t="s">
        <v>60</v>
      </c>
      <c r="B7" s="44" t="s">
        <v>73</v>
      </c>
      <c r="C7" s="44"/>
      <c r="D7" s="44"/>
      <c r="E7" s="44"/>
      <c r="F7" s="44"/>
      <c r="G7" s="44">
        <v>121.5</v>
      </c>
      <c r="H7" s="44">
        <v>125.1</v>
      </c>
      <c r="J7" s="44"/>
      <c r="K7" s="44"/>
      <c r="L7" s="44"/>
      <c r="M7" s="44"/>
      <c r="N7" s="44"/>
    </row>
    <row r="8" spans="1:14" x14ac:dyDescent="0.25">
      <c r="A8" s="44" t="s">
        <v>60</v>
      </c>
      <c r="B8" s="44" t="s">
        <v>74</v>
      </c>
      <c r="C8" s="44"/>
      <c r="D8" s="44"/>
      <c r="E8" s="44"/>
      <c r="F8" s="44"/>
      <c r="G8" s="44">
        <v>100.9</v>
      </c>
      <c r="H8" s="44">
        <v>102.8</v>
      </c>
      <c r="J8" s="44"/>
      <c r="K8" s="44"/>
      <c r="L8" s="44"/>
      <c r="M8" s="44"/>
      <c r="N8" s="44"/>
    </row>
    <row r="9" spans="1:14" x14ac:dyDescent="0.25">
      <c r="A9" s="44" t="s">
        <v>60</v>
      </c>
      <c r="B9" s="44" t="s">
        <v>75</v>
      </c>
      <c r="C9" s="44"/>
      <c r="D9" s="44"/>
      <c r="E9" s="44"/>
      <c r="F9" s="44"/>
      <c r="G9" s="44">
        <v>135.80000000000001</v>
      </c>
      <c r="H9" s="44">
        <v>141.30000000000001</v>
      </c>
      <c r="I9">
        <f>H9/G9</f>
        <v>1.0405007363770251</v>
      </c>
      <c r="J9" s="44"/>
      <c r="K9" s="44"/>
      <c r="L9" s="44"/>
      <c r="M9" s="44"/>
      <c r="N9" s="44"/>
    </row>
    <row r="10" spans="1:14" s="44" customFormat="1" x14ac:dyDescent="0.25">
      <c r="A10" s="44" t="s">
        <v>60</v>
      </c>
      <c r="B10" s="44" t="s">
        <v>5</v>
      </c>
      <c r="F10" s="267">
        <v>147.80000000000001</v>
      </c>
      <c r="G10" s="44">
        <v>151.4</v>
      </c>
      <c r="H10" s="44">
        <v>148.4</v>
      </c>
    </row>
    <row r="11" spans="1:14" s="44" customFormat="1" x14ac:dyDescent="0.25">
      <c r="A11" s="44" t="s">
        <v>60</v>
      </c>
      <c r="B11" s="44" t="s">
        <v>64</v>
      </c>
      <c r="G11" s="44">
        <v>96.3</v>
      </c>
      <c r="H11" s="44">
        <v>96.7</v>
      </c>
      <c r="I11" s="44">
        <f>H11/G11</f>
        <v>1.0041536863966771</v>
      </c>
    </row>
    <row r="12" spans="1:14" s="44" customFormat="1" x14ac:dyDescent="0.25">
      <c r="A12" s="44" t="s">
        <v>65</v>
      </c>
      <c r="B12" s="44" t="s">
        <v>7</v>
      </c>
      <c r="G12" s="44">
        <v>135</v>
      </c>
      <c r="H12" s="44">
        <v>136.80000000000001</v>
      </c>
    </row>
    <row r="13" spans="1:14" x14ac:dyDescent="0.25">
      <c r="A13" s="44" t="s">
        <v>65</v>
      </c>
      <c r="B13" s="44" t="s">
        <v>72</v>
      </c>
      <c r="C13" s="44"/>
      <c r="D13" s="44"/>
      <c r="E13" s="44"/>
      <c r="F13" s="44"/>
      <c r="G13" s="44">
        <v>129.80000000000001</v>
      </c>
      <c r="H13" s="44">
        <v>131.19999999999999</v>
      </c>
      <c r="J13" s="44"/>
      <c r="K13" s="44"/>
      <c r="L13" s="44"/>
      <c r="M13" s="44"/>
      <c r="N13" s="44"/>
    </row>
    <row r="14" spans="1:14" s="44" customFormat="1" x14ac:dyDescent="0.25">
      <c r="A14" s="44" t="s">
        <v>60</v>
      </c>
      <c r="B14" s="44" t="s">
        <v>124</v>
      </c>
      <c r="F14" s="44">
        <v>118.5</v>
      </c>
      <c r="G14" s="44">
        <v>119.2</v>
      </c>
      <c r="H14" s="44">
        <v>119.9</v>
      </c>
    </row>
    <row r="15" spans="1:14" x14ac:dyDescent="0.25">
      <c r="A15" s="44" t="s">
        <v>66</v>
      </c>
      <c r="B15" s="44"/>
      <c r="C15" s="44"/>
      <c r="D15" s="44"/>
      <c r="E15" s="44"/>
      <c r="F15" s="44"/>
      <c r="G15" s="44"/>
      <c r="J15" s="44"/>
      <c r="K15" s="44"/>
      <c r="L15" s="44"/>
      <c r="M15" s="44"/>
      <c r="N15" s="44"/>
    </row>
    <row r="16" spans="1:14" x14ac:dyDescent="0.25">
      <c r="A16" s="44">
        <v>2</v>
      </c>
      <c r="B16" s="44" t="s">
        <v>67</v>
      </c>
      <c r="C16" s="44"/>
      <c r="D16" s="44"/>
      <c r="E16" s="44"/>
      <c r="F16" s="44"/>
      <c r="G16" s="44"/>
      <c r="J16" s="44"/>
      <c r="K16" s="44"/>
      <c r="L16" s="44"/>
      <c r="M16" s="44"/>
      <c r="N16" s="44"/>
    </row>
    <row r="17" spans="1:14" x14ac:dyDescent="0.25">
      <c r="A17" s="44">
        <v>9</v>
      </c>
      <c r="B17" s="44" t="s">
        <v>68</v>
      </c>
      <c r="C17" s="44"/>
      <c r="D17" s="44"/>
      <c r="E17" s="44"/>
      <c r="F17" s="44"/>
      <c r="G17" s="44"/>
      <c r="J17" s="44"/>
      <c r="K17" s="44"/>
      <c r="L17" s="44"/>
      <c r="M17" s="44"/>
      <c r="N17" s="44"/>
    </row>
    <row r="18" spans="1:14" x14ac:dyDescent="0.25">
      <c r="A18" s="44">
        <v>11</v>
      </c>
      <c r="B18" s="44" t="s">
        <v>76</v>
      </c>
      <c r="C18" s="44"/>
      <c r="D18" s="44"/>
      <c r="E18" s="44"/>
      <c r="F18" s="44"/>
      <c r="G18" s="44"/>
      <c r="J18" s="44"/>
      <c r="K18" s="44"/>
      <c r="L18" s="44"/>
      <c r="M18" s="44"/>
      <c r="N18" s="44"/>
    </row>
    <row r="19" spans="1:14" x14ac:dyDescent="0.25">
      <c r="A19" s="44">
        <v>15</v>
      </c>
      <c r="B19" s="44" t="s">
        <v>77</v>
      </c>
      <c r="C19" s="44"/>
      <c r="D19" s="44"/>
      <c r="E19" s="44"/>
      <c r="F19" s="44"/>
      <c r="G19" s="44"/>
      <c r="K19" s="44"/>
      <c r="L19" s="44"/>
      <c r="M19" s="44"/>
      <c r="N19" s="44"/>
    </row>
    <row r="20" spans="1:14" x14ac:dyDescent="0.25">
      <c r="A20" s="44" t="s">
        <v>69</v>
      </c>
      <c r="B20" s="44"/>
      <c r="C20" s="44"/>
      <c r="D20" s="44"/>
      <c r="E20" s="44"/>
      <c r="F20" s="44"/>
      <c r="G20" s="44"/>
      <c r="K20" s="44"/>
      <c r="L20" s="44"/>
      <c r="M20" s="44"/>
      <c r="N20" s="44"/>
    </row>
    <row r="21" spans="1:14" x14ac:dyDescent="0.25">
      <c r="A21" s="44" t="s">
        <v>70</v>
      </c>
      <c r="B21" s="44"/>
      <c r="C21" s="44"/>
      <c r="D21" s="44"/>
      <c r="E21" s="44"/>
      <c r="F21" s="44"/>
      <c r="G21" s="44"/>
      <c r="K21" s="44"/>
      <c r="L21" s="44"/>
      <c r="M21" s="44"/>
      <c r="N21" s="44"/>
    </row>
    <row r="22" spans="1:14" x14ac:dyDescent="0.25">
      <c r="A22" s="44" t="s">
        <v>120</v>
      </c>
      <c r="B22" s="44"/>
      <c r="C22" s="44"/>
      <c r="D22" s="44"/>
      <c r="E22" s="44"/>
      <c r="F22" s="44"/>
      <c r="G22" s="44"/>
      <c r="K22" s="44"/>
      <c r="L22" s="44"/>
      <c r="M22" s="44"/>
      <c r="N22" s="44"/>
    </row>
    <row r="23" spans="1:14" x14ac:dyDescent="0.25">
      <c r="K23" s="44"/>
      <c r="L23" s="44"/>
      <c r="M23" s="44"/>
      <c r="N23" s="44"/>
    </row>
    <row r="24" spans="1:14" x14ac:dyDescent="0.25">
      <c r="K24" s="44"/>
      <c r="L24" s="44"/>
      <c r="M24" s="44"/>
      <c r="N24" s="44"/>
    </row>
    <row r="25" spans="1:14" x14ac:dyDescent="0.25">
      <c r="K25" s="44"/>
      <c r="L25" s="44"/>
      <c r="M25" s="44"/>
      <c r="N25" s="44"/>
    </row>
    <row r="26" spans="1:14" x14ac:dyDescent="0.25">
      <c r="K26" s="44"/>
      <c r="L26" s="44"/>
      <c r="M26" s="44"/>
      <c r="N26" s="44"/>
    </row>
    <row r="27" spans="1:14" x14ac:dyDescent="0.25">
      <c r="K27" s="44"/>
      <c r="L27" s="44"/>
      <c r="M27" s="44"/>
      <c r="N27" s="44"/>
    </row>
    <row r="28" spans="1:14" x14ac:dyDescent="0.25">
      <c r="K28" s="44"/>
      <c r="L28" s="44"/>
      <c r="M28" s="44"/>
      <c r="N28" s="44"/>
    </row>
    <row r="29" spans="1:14" x14ac:dyDescent="0.25">
      <c r="K29" s="44"/>
      <c r="L29" s="44"/>
      <c r="M29" s="44"/>
      <c r="N29" s="44"/>
    </row>
    <row r="30" spans="1:14" x14ac:dyDescent="0.25">
      <c r="K30" s="44"/>
      <c r="L30" s="44"/>
      <c r="M30" s="44"/>
      <c r="N30" s="44"/>
    </row>
    <row r="31" spans="1:14" x14ac:dyDescent="0.25">
      <c r="K31" s="44"/>
      <c r="L31" s="44"/>
      <c r="M31" s="44"/>
      <c r="N31" s="44"/>
    </row>
  </sheetData>
  <pageMargins left="0.7" right="0.7" top="0.75" bottom="0.75" header="0.3" footer="0.3"/>
  <pageSetup orientation="portrait" horizontalDpi="4294967295" verticalDpi="429496729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2" workbookViewId="0">
      <selection activeCell="D14" sqref="D14"/>
    </sheetView>
  </sheetViews>
  <sheetFormatPr defaultColWidth="8.85546875" defaultRowHeight="15" x14ac:dyDescent="0.25"/>
  <cols>
    <col min="1" max="1" width="33.28515625" customWidth="1"/>
    <col min="2" max="2" width="19.140625" customWidth="1"/>
    <col min="3" max="3" width="8.85546875" style="44"/>
  </cols>
  <sheetData>
    <row r="1" spans="1:6" x14ac:dyDescent="0.25">
      <c r="A1" s="45" t="s">
        <v>117</v>
      </c>
      <c r="B1" s="44"/>
    </row>
    <row r="2" spans="1:6" x14ac:dyDescent="0.25">
      <c r="A2" s="44" t="s">
        <v>57</v>
      </c>
      <c r="B2" s="44"/>
    </row>
    <row r="3" spans="1:6" x14ac:dyDescent="0.25">
      <c r="A3" s="44" t="s">
        <v>78</v>
      </c>
      <c r="B3" s="44"/>
    </row>
    <row r="4" spans="1:6" x14ac:dyDescent="0.25">
      <c r="A4" s="44" t="s">
        <v>79</v>
      </c>
      <c r="B4" s="44"/>
      <c r="C4" s="44" t="s">
        <v>118</v>
      </c>
    </row>
    <row r="5" spans="1:6" x14ac:dyDescent="0.25">
      <c r="A5" s="45" t="s">
        <v>80</v>
      </c>
      <c r="B5" s="45" t="s">
        <v>61</v>
      </c>
      <c r="C5" s="45">
        <v>2016</v>
      </c>
      <c r="D5" s="45"/>
    </row>
    <row r="6" spans="1:6" x14ac:dyDescent="0.25">
      <c r="A6" s="44" t="s">
        <v>81</v>
      </c>
      <c r="B6" s="44" t="s">
        <v>63</v>
      </c>
      <c r="C6" s="44">
        <v>39336</v>
      </c>
      <c r="D6" s="99"/>
      <c r="F6" t="s">
        <v>107</v>
      </c>
    </row>
    <row r="7" spans="1:6" x14ac:dyDescent="0.25">
      <c r="A7" s="44" t="s">
        <v>81</v>
      </c>
      <c r="B7" s="44" t="s">
        <v>5</v>
      </c>
      <c r="C7" s="44">
        <v>13075</v>
      </c>
      <c r="D7" s="99"/>
    </row>
    <row r="8" spans="1:6" x14ac:dyDescent="0.25">
      <c r="A8" s="44" t="s">
        <v>81</v>
      </c>
      <c r="B8" s="44" t="s">
        <v>64</v>
      </c>
      <c r="C8" s="44">
        <v>1874</v>
      </c>
      <c r="D8" s="99"/>
    </row>
    <row r="9" spans="1:6" x14ac:dyDescent="0.25">
      <c r="A9" s="44" t="s">
        <v>81</v>
      </c>
      <c r="B9" s="44" t="s">
        <v>9</v>
      </c>
      <c r="C9" s="8">
        <v>4962</v>
      </c>
      <c r="D9" s="37"/>
    </row>
    <row r="10" spans="1:6" x14ac:dyDescent="0.25">
      <c r="A10" s="44" t="s">
        <v>81</v>
      </c>
      <c r="B10" s="44" t="s">
        <v>7</v>
      </c>
      <c r="C10" s="44">
        <v>8158</v>
      </c>
      <c r="D10" s="99"/>
    </row>
    <row r="11" spans="1:6" x14ac:dyDescent="0.25">
      <c r="A11" s="44" t="s">
        <v>81</v>
      </c>
      <c r="B11" s="44" t="s">
        <v>82</v>
      </c>
      <c r="C11" s="44">
        <v>11267</v>
      </c>
      <c r="D11" s="99"/>
    </row>
    <row r="12" spans="1:6" x14ac:dyDescent="0.25">
      <c r="A12" s="44" t="s">
        <v>83</v>
      </c>
      <c r="B12" s="44" t="s">
        <v>63</v>
      </c>
      <c r="C12" s="44">
        <v>39520</v>
      </c>
      <c r="D12" s="137"/>
      <c r="E12" s="138"/>
    </row>
    <row r="13" spans="1:6" x14ac:dyDescent="0.25">
      <c r="A13" s="44" t="s">
        <v>83</v>
      </c>
      <c r="B13" s="44" t="s">
        <v>5</v>
      </c>
      <c r="C13" s="8">
        <v>13075</v>
      </c>
      <c r="D13" s="99"/>
    </row>
    <row r="14" spans="1:6" x14ac:dyDescent="0.25">
      <c r="A14" s="44" t="s">
        <v>83</v>
      </c>
      <c r="B14" s="44" t="s">
        <v>64</v>
      </c>
      <c r="C14" s="8">
        <v>1874</v>
      </c>
      <c r="D14" s="139">
        <f>C17/(C13+C14)</f>
        <v>0.75369589939126358</v>
      </c>
    </row>
    <row r="15" spans="1:6" x14ac:dyDescent="0.25">
      <c r="A15" s="44" t="s">
        <v>83</v>
      </c>
      <c r="B15" s="44" t="s">
        <v>9</v>
      </c>
      <c r="C15" s="8">
        <v>4962</v>
      </c>
      <c r="D15" s="137"/>
    </row>
    <row r="16" spans="1:6" x14ac:dyDescent="0.25">
      <c r="A16" s="44" t="s">
        <v>83</v>
      </c>
      <c r="B16" s="44" t="s">
        <v>7</v>
      </c>
      <c r="C16" s="44">
        <v>8343</v>
      </c>
      <c r="D16" s="99"/>
    </row>
    <row r="17" spans="1:4" x14ac:dyDescent="0.25">
      <c r="A17" s="44" t="s">
        <v>83</v>
      </c>
      <c r="B17" s="44" t="s">
        <v>82</v>
      </c>
      <c r="C17" s="44">
        <v>11267</v>
      </c>
      <c r="D17" s="136"/>
    </row>
    <row r="18" spans="1:4" x14ac:dyDescent="0.25">
      <c r="A18" s="44" t="s">
        <v>84</v>
      </c>
      <c r="B18" s="44" t="s">
        <v>63</v>
      </c>
      <c r="C18" s="44">
        <v>37487</v>
      </c>
      <c r="D18" s="99"/>
    </row>
    <row r="19" spans="1:4" x14ac:dyDescent="0.25">
      <c r="A19" s="44" t="s">
        <v>84</v>
      </c>
      <c r="B19" s="44" t="s">
        <v>5</v>
      </c>
      <c r="C19" s="44">
        <v>13075</v>
      </c>
      <c r="D19" s="99"/>
    </row>
    <row r="20" spans="1:4" x14ac:dyDescent="0.25">
      <c r="A20" s="44" t="s">
        <v>84</v>
      </c>
      <c r="B20" s="44" t="s">
        <v>64</v>
      </c>
      <c r="C20" s="44">
        <v>1874</v>
      </c>
      <c r="D20" s="99"/>
    </row>
    <row r="21" spans="1:4" x14ac:dyDescent="0.25">
      <c r="A21" s="44" t="s">
        <v>84</v>
      </c>
      <c r="B21" s="44" t="s">
        <v>9</v>
      </c>
      <c r="C21" s="44">
        <v>2683</v>
      </c>
      <c r="D21" s="99"/>
    </row>
    <row r="22" spans="1:4" x14ac:dyDescent="0.25">
      <c r="A22" s="44" t="s">
        <v>84</v>
      </c>
      <c r="B22" s="44" t="s">
        <v>7</v>
      </c>
      <c r="C22" s="44">
        <v>8589</v>
      </c>
      <c r="D22" s="99"/>
    </row>
    <row r="23" spans="1:4" x14ac:dyDescent="0.25">
      <c r="A23" s="44" t="s">
        <v>84</v>
      </c>
      <c r="B23" s="44" t="s">
        <v>82</v>
      </c>
      <c r="C23" s="44">
        <v>11267</v>
      </c>
      <c r="D23" s="99"/>
    </row>
    <row r="24" spans="1:4" s="44" customFormat="1" x14ac:dyDescent="0.25">
      <c r="A24" s="44" t="s">
        <v>62</v>
      </c>
      <c r="B24" s="44" t="s">
        <v>63</v>
      </c>
      <c r="C24" s="44">
        <v>38284</v>
      </c>
      <c r="D24" s="99"/>
    </row>
    <row r="25" spans="1:4" x14ac:dyDescent="0.25">
      <c r="A25" s="44" t="s">
        <v>62</v>
      </c>
      <c r="B25" s="44" t="s">
        <v>5</v>
      </c>
      <c r="C25" s="44">
        <v>12236</v>
      </c>
      <c r="D25" s="99"/>
    </row>
    <row r="26" spans="1:4" x14ac:dyDescent="0.25">
      <c r="A26" s="44" t="s">
        <v>62</v>
      </c>
      <c r="B26" s="44" t="s">
        <v>64</v>
      </c>
      <c r="C26" s="44">
        <v>1874</v>
      </c>
      <c r="D26" s="99"/>
    </row>
    <row r="27" spans="1:4" x14ac:dyDescent="0.25">
      <c r="A27" s="44" t="s">
        <v>62</v>
      </c>
      <c r="B27" s="44" t="s">
        <v>9</v>
      </c>
      <c r="C27" s="44">
        <v>2854</v>
      </c>
      <c r="D27" s="99"/>
    </row>
    <row r="28" spans="1:4" x14ac:dyDescent="0.25">
      <c r="A28" s="44" t="s">
        <v>62</v>
      </c>
      <c r="B28" s="44" t="s">
        <v>7</v>
      </c>
      <c r="C28" s="44">
        <v>10685</v>
      </c>
      <c r="D28" s="99"/>
    </row>
    <row r="29" spans="1:4" x14ac:dyDescent="0.25">
      <c r="A29" s="44" t="s">
        <v>62</v>
      </c>
      <c r="B29" s="44" t="s">
        <v>82</v>
      </c>
      <c r="C29" s="44">
        <v>10634</v>
      </c>
      <c r="D29" s="37"/>
    </row>
    <row r="30" spans="1:4" x14ac:dyDescent="0.25">
      <c r="A30" s="44" t="s">
        <v>85</v>
      </c>
      <c r="B30" s="44" t="s">
        <v>63</v>
      </c>
      <c r="C30" s="44">
        <v>35695</v>
      </c>
      <c r="D30" s="99"/>
    </row>
    <row r="31" spans="1:4" s="44" customFormat="1" x14ac:dyDescent="0.25">
      <c r="A31" s="44" t="s">
        <v>85</v>
      </c>
      <c r="B31" s="44" t="s">
        <v>5</v>
      </c>
      <c r="C31" s="44">
        <v>12611</v>
      </c>
      <c r="D31" s="99"/>
    </row>
    <row r="32" spans="1:4" x14ac:dyDescent="0.25">
      <c r="A32" s="44" t="s">
        <v>85</v>
      </c>
      <c r="B32" s="44" t="s">
        <v>64</v>
      </c>
      <c r="C32" s="44">
        <v>1874</v>
      </c>
      <c r="D32" s="99"/>
    </row>
    <row r="33" spans="1:4" x14ac:dyDescent="0.25">
      <c r="A33" s="44" t="s">
        <v>85</v>
      </c>
      <c r="B33" s="44" t="s">
        <v>9</v>
      </c>
      <c r="C33" s="44">
        <v>2026</v>
      </c>
      <c r="D33" s="99"/>
    </row>
    <row r="34" spans="1:4" x14ac:dyDescent="0.25">
      <c r="A34" s="44" t="s">
        <v>85</v>
      </c>
      <c r="B34" s="44" t="s">
        <v>7</v>
      </c>
      <c r="C34" s="44">
        <v>8267</v>
      </c>
      <c r="D34" s="99"/>
    </row>
    <row r="35" spans="1:4" x14ac:dyDescent="0.25">
      <c r="A35" s="44" t="s">
        <v>85</v>
      </c>
      <c r="B35" s="44" t="s">
        <v>82</v>
      </c>
      <c r="C35" s="44">
        <v>10917</v>
      </c>
      <c r="D35" s="99"/>
    </row>
    <row r="36" spans="1:4" x14ac:dyDescent="0.25">
      <c r="A36" s="44" t="s">
        <v>66</v>
      </c>
      <c r="B36" s="44"/>
      <c r="D36" s="99"/>
    </row>
    <row r="37" spans="1:4" x14ac:dyDescent="0.25">
      <c r="A37" s="44">
        <v>1</v>
      </c>
      <c r="B37" s="44"/>
      <c r="D37" s="99"/>
    </row>
    <row r="38" spans="1:4" x14ac:dyDescent="0.25">
      <c r="A38" s="44">
        <v>2</v>
      </c>
      <c r="B38" s="44"/>
    </row>
    <row r="39" spans="1:4" x14ac:dyDescent="0.25">
      <c r="A39" s="44">
        <v>3</v>
      </c>
      <c r="B39" s="44"/>
    </row>
    <row r="40" spans="1:4" x14ac:dyDescent="0.25">
      <c r="A40" s="44" t="s">
        <v>69</v>
      </c>
      <c r="B40" s="44"/>
    </row>
    <row r="41" spans="1:4" x14ac:dyDescent="0.25">
      <c r="A41" s="44" t="s">
        <v>119</v>
      </c>
      <c r="B41" s="44"/>
    </row>
    <row r="42" spans="1:4" x14ac:dyDescent="0.25">
      <c r="A42" s="44" t="s">
        <v>115</v>
      </c>
      <c r="B42" s="44"/>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LW 2018 Income</vt:lpstr>
      <vt:lpstr>Sheet1</vt:lpstr>
      <vt:lpstr>Family Expenses</vt:lpstr>
      <vt:lpstr>table 2 calculations</vt:lpstr>
      <vt:lpstr>table 4 calculations</vt:lpstr>
      <vt:lpstr>CPI</vt:lpstr>
      <vt:lpstr>MBM</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Partridge</dc:creator>
  <cp:lastModifiedBy>Christine Saulnier</cp:lastModifiedBy>
  <cp:revision/>
  <dcterms:created xsi:type="dcterms:W3CDTF">2014-07-08T21:01:56Z</dcterms:created>
  <dcterms:modified xsi:type="dcterms:W3CDTF">2018-06-25T13:17:43Z</dcterms:modified>
</cp:coreProperties>
</file>