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9"/>
  <workbookPr showInkAnnotation="0" autoCompressPictures="0"/>
  <mc:AlternateContent xmlns:mc="http://schemas.openxmlformats.org/markup-compatibility/2006">
    <mc:Choice Requires="x15">
      <x15ac:absPath xmlns:x15ac="http://schemas.microsoft.com/office/spreadsheetml/2010/11/ac" url="/Users/iglika/Documents/Iglika's PIRD docs/Ongoing projects/Living Wage 2022/"/>
    </mc:Choice>
  </mc:AlternateContent>
  <xr:revisionPtr revIDLastSave="0" documentId="8_{04394872-3522-9943-B1D8-2CA2C4D1FF8C}" xr6:coauthVersionLast="47" xr6:coauthVersionMax="47" xr10:uidLastSave="{00000000-0000-0000-0000-000000000000}"/>
  <bookViews>
    <workbookView xWindow="6620" yWindow="520" windowWidth="29640" windowHeight="20080" tabRatio="500" activeTab="1" xr2:uid="{00000000-000D-0000-FFFF-FFFF00000000}"/>
  </bookViews>
  <sheets>
    <sheet name="First time LW calculation" sheetId="1" r:id="rId1"/>
    <sheet name="Using last year's LW income" sheetId="2" r:id="rId2"/>
    <sheet name="Family expenses" sheetId="3" r:id="rId3"/>
  </sheets>
  <calcPr calcId="191029" concurrentCalc="0"/>
  <customWorkbookViews>
    <customWorkbookView name="Pamela Reaño - Personal View" guid="{AECF95C1-27BC-F14B-8EDE-44059DAFEC30}" mergeInterval="0" personalView="1" xWindow="227" yWindow="94" windowWidth="1507" windowHeight="938" tabRatio="50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3" l="1"/>
  <c r="B25" i="3"/>
  <c r="B61" i="2"/>
  <c r="H27" i="2"/>
  <c r="B54" i="1"/>
  <c r="C53" i="1"/>
  <c r="C54" i="1"/>
  <c r="D54" i="1"/>
  <c r="J45" i="1"/>
  <c r="J46" i="1"/>
  <c r="J47" i="1"/>
  <c r="G54" i="1"/>
  <c r="B55" i="1"/>
  <c r="B56" i="1"/>
  <c r="C55" i="1"/>
  <c r="C56" i="1"/>
  <c r="D56" i="1"/>
  <c r="E34" i="1"/>
  <c r="C34" i="1"/>
  <c r="E33" i="1"/>
  <c r="B55" i="2"/>
  <c r="C59" i="2"/>
  <c r="B56" i="2"/>
  <c r="G55" i="2"/>
  <c r="B59" i="2"/>
  <c r="C34" i="2"/>
  <c r="E33" i="2"/>
  <c r="B13" i="1"/>
  <c r="C13" i="1"/>
  <c r="B12" i="1"/>
  <c r="C12" i="1"/>
  <c r="C16" i="1"/>
  <c r="C19" i="1"/>
  <c r="C21" i="1"/>
  <c r="D13" i="1"/>
  <c r="D12" i="1"/>
  <c r="C53" i="2"/>
  <c r="C19" i="2"/>
  <c r="B12" i="2"/>
  <c r="C12" i="2"/>
  <c r="C16" i="2"/>
  <c r="C21" i="2"/>
  <c r="D12" i="2"/>
  <c r="D13" i="2"/>
  <c r="D14" i="2"/>
  <c r="C13" i="2"/>
  <c r="C15" i="2"/>
  <c r="B30" i="3"/>
  <c r="B28" i="3"/>
  <c r="B29" i="3"/>
  <c r="B45" i="3"/>
  <c r="B46" i="3"/>
  <c r="B48" i="3"/>
  <c r="B49" i="3"/>
  <c r="J45" i="2"/>
  <c r="J46" i="2"/>
  <c r="J47" i="2"/>
  <c r="G54" i="2"/>
  <c r="B54" i="2"/>
  <c r="C54" i="2"/>
  <c r="C55" i="2"/>
  <c r="C56" i="2"/>
  <c r="D56" i="2"/>
  <c r="I56" i="2"/>
  <c r="B57" i="2"/>
  <c r="B58" i="2"/>
  <c r="B18" i="2"/>
  <c r="C18" i="2"/>
  <c r="G56" i="2"/>
  <c r="B60" i="2"/>
  <c r="B62" i="2"/>
  <c r="C57" i="2"/>
  <c r="C58" i="2"/>
  <c r="B56" i="3"/>
  <c r="I54" i="2"/>
  <c r="I55" i="2"/>
  <c r="C60" i="2"/>
  <c r="C61" i="2"/>
  <c r="C62" i="2"/>
  <c r="D62" i="2"/>
  <c r="C35" i="2"/>
  <c r="E27" i="2"/>
  <c r="C27" i="2"/>
  <c r="E28" i="2"/>
  <c r="C28" i="2"/>
  <c r="E29" i="2"/>
  <c r="C29" i="2"/>
  <c r="E30" i="2"/>
  <c r="C30" i="2"/>
  <c r="C31" i="2"/>
  <c r="E32" i="2"/>
  <c r="C32" i="2"/>
  <c r="C33" i="2"/>
  <c r="E34" i="2"/>
  <c r="C37" i="2"/>
  <c r="C44" i="2"/>
  <c r="B13" i="2"/>
  <c r="B6" i="3"/>
  <c r="B9" i="3"/>
  <c r="B10" i="2"/>
  <c r="C10" i="2"/>
  <c r="B15" i="3"/>
  <c r="C11" i="2"/>
  <c r="B36" i="3"/>
  <c r="B37" i="3"/>
  <c r="B38" i="3"/>
  <c r="C14" i="2"/>
  <c r="B50" i="3"/>
  <c r="C17" i="2"/>
  <c r="B59" i="3"/>
  <c r="C20" i="2"/>
  <c r="B57" i="1"/>
  <c r="B18" i="1"/>
  <c r="C18" i="1"/>
  <c r="G55" i="1"/>
  <c r="B61" i="1"/>
  <c r="C57" i="1"/>
  <c r="I54" i="1"/>
  <c r="I55" i="1"/>
  <c r="C61" i="1"/>
  <c r="C59" i="1"/>
  <c r="B59" i="1"/>
  <c r="E32" i="1"/>
  <c r="E27" i="1"/>
  <c r="C27" i="1"/>
  <c r="E28" i="1"/>
  <c r="C28" i="1"/>
  <c r="E29" i="1"/>
  <c r="C29" i="1"/>
  <c r="E30" i="1"/>
  <c r="C30" i="1"/>
  <c r="C32" i="1"/>
  <c r="C33" i="1"/>
  <c r="C35" i="1"/>
  <c r="C31" i="1"/>
  <c r="C37" i="1"/>
  <c r="B33" i="1"/>
  <c r="B34" i="1"/>
  <c r="B32" i="1"/>
  <c r="B30" i="1"/>
  <c r="B29" i="1"/>
  <c r="B34" i="2"/>
  <c r="B30" i="2"/>
  <c r="B29" i="2"/>
  <c r="B33" i="2"/>
  <c r="B32" i="2"/>
  <c r="H30" i="1"/>
  <c r="H30" i="2"/>
  <c r="B35" i="2"/>
  <c r="B36" i="1"/>
  <c r="B36" i="2"/>
  <c r="C58" i="1"/>
  <c r="B58" i="1"/>
  <c r="H29" i="1"/>
  <c r="H29" i="2"/>
  <c r="D52" i="2"/>
  <c r="B28" i="2"/>
  <c r="B19" i="2"/>
  <c r="B27" i="2"/>
  <c r="D54" i="2"/>
  <c r="D68" i="2"/>
  <c r="D58" i="2"/>
  <c r="D57" i="2"/>
  <c r="H27" i="1"/>
  <c r="B37" i="2"/>
  <c r="D71" i="2"/>
  <c r="B11" i="2"/>
  <c r="D61" i="2"/>
  <c r="B14" i="2"/>
  <c r="D52" i="1"/>
  <c r="D59" i="2"/>
  <c r="B63" i="2"/>
  <c r="C63" i="2"/>
  <c r="B42" i="3"/>
  <c r="B20" i="2"/>
  <c r="B19" i="1"/>
  <c r="C14" i="1"/>
  <c r="B14" i="1"/>
  <c r="C11" i="1"/>
  <c r="B11" i="1"/>
  <c r="C20" i="1"/>
  <c r="B20" i="1"/>
  <c r="B17" i="2"/>
  <c r="B10" i="1"/>
  <c r="D63" i="2"/>
  <c r="D69" i="2"/>
  <c r="D70" i="2"/>
  <c r="D72" i="2"/>
  <c r="D60" i="2"/>
  <c r="B15" i="2"/>
  <c r="B21" i="2"/>
  <c r="C17" i="1"/>
  <c r="D68" i="1"/>
  <c r="D58" i="1"/>
  <c r="D57" i="1"/>
  <c r="C10" i="1"/>
  <c r="B35" i="1"/>
  <c r="B17" i="1"/>
  <c r="C15" i="1"/>
  <c r="D16" i="2"/>
  <c r="B15" i="1"/>
  <c r="D20" i="2"/>
  <c r="D11" i="2"/>
  <c r="D19" i="2"/>
  <c r="D17" i="2"/>
  <c r="D73" i="2"/>
  <c r="D74" i="2"/>
  <c r="D10" i="2"/>
  <c r="D15" i="2"/>
  <c r="D18" i="2"/>
  <c r="C45" i="2"/>
  <c r="C46" i="2"/>
  <c r="D21" i="2"/>
  <c r="B21" i="1"/>
  <c r="G56" i="1"/>
  <c r="B60" i="1"/>
  <c r="I56" i="1"/>
  <c r="B27" i="1"/>
  <c r="D59" i="1"/>
  <c r="B28" i="1"/>
  <c r="D61" i="1"/>
  <c r="D19" i="1"/>
  <c r="D21" i="1"/>
  <c r="C45" i="1"/>
  <c r="D73" i="1"/>
  <c r="D11" i="1"/>
  <c r="D18" i="1"/>
  <c r="D14" i="1"/>
  <c r="D20" i="1"/>
  <c r="D17" i="1"/>
  <c r="D10" i="1"/>
  <c r="D15" i="1"/>
  <c r="D16" i="1"/>
  <c r="B62" i="1"/>
  <c r="B63" i="1"/>
  <c r="C60" i="1"/>
  <c r="C62" i="1"/>
  <c r="C63" i="1"/>
  <c r="D69" i="1"/>
  <c r="D70" i="1"/>
  <c r="D60" i="1"/>
  <c r="D63" i="1"/>
  <c r="D62" i="1"/>
  <c r="D71" i="1"/>
  <c r="D72" i="1"/>
  <c r="D74" i="1"/>
  <c r="C44" i="1"/>
  <c r="C46" i="1"/>
  <c r="B37" i="1"/>
</calcChain>
</file>

<file path=xl/sharedStrings.xml><?xml version="1.0" encoding="utf-8"?>
<sst xmlns="http://schemas.openxmlformats.org/spreadsheetml/2006/main" count="241" uniqueCount="138">
  <si>
    <t xml:space="preserve">      Two Parent, Two Children, Two Income Family</t>
  </si>
  <si>
    <t xml:space="preserve">        Children ages 4 and 7: 1 child in full-time child care, and 1 child in before and after school care and summer care. Family has a car and bus pass.</t>
    <phoneticPr fontId="0" type="noConversion"/>
  </si>
  <si>
    <t>Table I:  Family Expenses</t>
  </si>
  <si>
    <t>Item</t>
  </si>
  <si>
    <t>Monthly</t>
  </si>
  <si>
    <t>Annually</t>
  </si>
  <si>
    <t>% of Total</t>
  </si>
  <si>
    <t>Modified MBM</t>
  </si>
  <si>
    <t>Expenses</t>
  </si>
  <si>
    <t xml:space="preserve">    Food</t>
  </si>
  <si>
    <t xml:space="preserve">    Clothing and Footwear</t>
  </si>
  <si>
    <t xml:space="preserve">    Transportation</t>
  </si>
  <si>
    <t>Subtotal</t>
  </si>
  <si>
    <t>Child Care</t>
  </si>
  <si>
    <t>Parent Education</t>
  </si>
  <si>
    <t>Total</t>
  </si>
  <si>
    <t>Table II:  Non-Wage Income (Government Transfers)</t>
  </si>
  <si>
    <t>Formula</t>
    <phoneticPr fontId="0" type="noConversion"/>
  </si>
  <si>
    <t>BR at FNI</t>
  </si>
  <si>
    <t>$0 at FNI</t>
  </si>
  <si>
    <t>Use BC Housing RAP calculator http://www.bchousing.org/Options/Rental_market/RAP/Calculator</t>
    <phoneticPr fontId="0" type="noConversion"/>
  </si>
  <si>
    <t>Table III:  Family Income Less Family Expenses</t>
  </si>
  <si>
    <t>Available Annual Income</t>
  </si>
  <si>
    <t>Child</t>
  </si>
  <si>
    <t>Max. Subs.</t>
  </si>
  <si>
    <t>Amt of Subs.</t>
  </si>
  <si>
    <t>Annual Family Expenses</t>
  </si>
  <si>
    <t>Gap</t>
  </si>
  <si>
    <t>Parent 1</t>
  </si>
  <si>
    <t>Parent 2</t>
  </si>
  <si>
    <t>Hours / Week</t>
  </si>
  <si>
    <t>Division of Income, Expenses, Tax Credits</t>
    <phoneticPr fontId="0" type="noConversion"/>
  </si>
  <si>
    <t>Wage</t>
  </si>
  <si>
    <t>Employment Income</t>
  </si>
  <si>
    <t>Adjustments</t>
  </si>
  <si>
    <t>CC Exp.</t>
  </si>
  <si>
    <t>Net Income</t>
  </si>
  <si>
    <t>Med. Exp.</t>
    <phoneticPr fontId="0" type="noConversion"/>
  </si>
  <si>
    <t>EI Premiums</t>
  </si>
  <si>
    <t>Ref. Med Exp. Supplement</t>
    <phoneticPr fontId="0" type="noConversion"/>
  </si>
  <si>
    <t>CPP Premiums</t>
  </si>
  <si>
    <t>Fed. Income Tax</t>
  </si>
  <si>
    <t>Fed. Refundable TC</t>
    <phoneticPr fontId="0" type="noConversion"/>
  </si>
  <si>
    <t>Prov. Income Tax</t>
  </si>
  <si>
    <t>After Tax Income</t>
  </si>
  <si>
    <t>Monthly After Tax Inc.</t>
  </si>
  <si>
    <t>Total Annual Income from Employment</t>
  </si>
  <si>
    <t xml:space="preserve">  - EI, CPP, Fed. and Prov. Taxes</t>
  </si>
  <si>
    <t>Equals Family Take Home Pay</t>
  </si>
  <si>
    <t>Equals Total Disposable Family Income</t>
  </si>
  <si>
    <t xml:space="preserve">  - Family Expenses</t>
  </si>
  <si>
    <t>Equals Income less expenses</t>
  </si>
  <si>
    <t xml:space="preserve">        Children ages 4 and 7: 1 child in full-time child care, and 1 child in before and after school care and summer care. Family has a car and bus pass for one of the parents.</t>
    <phoneticPr fontId="2" type="noConversion"/>
  </si>
  <si>
    <t>Table IIa:  Last Year's Family Income (For Government Transfers)</t>
    <phoneticPr fontId="1" type="noConversion"/>
  </si>
  <si>
    <t>Formula</t>
  </si>
  <si>
    <t>Employment income</t>
    <phoneticPr fontId="1" type="noConversion"/>
  </si>
  <si>
    <t>Adjustments</t>
    <phoneticPr fontId="1" type="noConversion"/>
  </si>
  <si>
    <t>Net Income</t>
    <phoneticPr fontId="1" type="noConversion"/>
  </si>
  <si>
    <t>Food:</t>
  </si>
  <si>
    <t>BC Average</t>
  </si>
  <si>
    <t>Monthly Food Cost:</t>
  </si>
  <si>
    <t>Annual Clothing Cost:</t>
  </si>
  <si>
    <t>Transportation</t>
  </si>
  <si>
    <t>Annual Transportation Cost:</t>
  </si>
  <si>
    <t>75.4% of combined expense for Food and Clothing</t>
  </si>
  <si>
    <t>(calculated on spreadsheet)</t>
  </si>
  <si>
    <t>Annual Child Care Cost</t>
  </si>
  <si>
    <t>Annual Parent Education Cost</t>
  </si>
  <si>
    <t xml:space="preserve">Monthly Tenants insurance </t>
  </si>
  <si>
    <t>U-Pass for Student Parent - 8 months</t>
  </si>
  <si>
    <t>Summer programs, 1 month &amp; 2 weeks, school age</t>
  </si>
  <si>
    <t>Full-day care during winter &amp; spring school breaks, 3 weeks</t>
  </si>
  <si>
    <t>Student Fees (per semester)</t>
  </si>
  <si>
    <t>3-Credit courses at Douglas College (each)</t>
  </si>
  <si>
    <t>1st threshold</t>
  </si>
  <si>
    <t>2nd threshold</t>
  </si>
  <si>
    <t>Most of these amounts can be verified with CRA's Child and family benefits calculator http://www.cra-arc.gc.ca/bnfts/clcltr/cfbc-eng.html</t>
  </si>
  <si>
    <t xml:space="preserve">    Other Household Expenses</t>
  </si>
  <si>
    <t>Non MSP Health Expenses</t>
  </si>
  <si>
    <t>Contingency Fund</t>
  </si>
  <si>
    <t>Fed. Refundable Tax Credits</t>
  </si>
  <si>
    <t>No CCB at FNI</t>
  </si>
  <si>
    <t>7 (school year)</t>
  </si>
  <si>
    <t>7 (summer care)</t>
  </si>
  <si>
    <t>BC Affordable Child Care Benefit</t>
  </si>
  <si>
    <t>3rd threshold</t>
  </si>
  <si>
    <t>Clothing and footwear:</t>
  </si>
  <si>
    <t>Public Transit Pass - 2 zone, 4 months</t>
  </si>
  <si>
    <t>Full time licensed group care, age 3-5, 12 months. Includes fee reduction ($100/mo).</t>
  </si>
  <si>
    <t xml:space="preserve">Pacific Blue Cross (extended health, drug, dental) - monthly </t>
  </si>
  <si>
    <t>Table IV:  The Living Wage and Government Deductions and Taxes</t>
  </si>
  <si>
    <t>Table V:  Family Income less Gov't Deductions and Taxes plus Gov't Transfers</t>
  </si>
  <si>
    <t>Full-day care for 6 PD days (0 if the cost is already included in the fee for Out of School Care)</t>
  </si>
  <si>
    <t>These amounts can be verified with BC's Affordable Child Care Benefits Estimator https://myfamilyservices.gov.bc.ca/s/estimator</t>
  </si>
  <si>
    <t>Rental Assistance Program (RAP)</t>
  </si>
  <si>
    <t>Health service delivery area average (weighted average of Fraser South, Fraser North, Vancouver, Richmond and North Shore/Coast Garibaldi weighted by the population of those HSDAs (North Van &amp; West Van-Bowen Island Local health areas only))</t>
  </si>
  <si>
    <t>Canada Child Benefit (CCB)</t>
  </si>
  <si>
    <t>Non-MSP Health Expenses</t>
  </si>
  <si>
    <t>CWB</t>
  </si>
  <si>
    <t>BC Child Opportunity Benefit</t>
  </si>
  <si>
    <t>No benefit at FNI</t>
  </si>
  <si>
    <t>Before-and-after School Care, 10 months</t>
  </si>
  <si>
    <t>Can. Training Cr. (CTC)</t>
  </si>
  <si>
    <t>Tuition (net of CTC)</t>
  </si>
  <si>
    <t>Utilities - using BC provincial data from SHS 2019</t>
  </si>
  <si>
    <t>CPI 2019 Water, fuel and electricity - BC</t>
  </si>
  <si>
    <t xml:space="preserve">  + CCB, GST, RAP, BCCOB, BCLICATC, BCACCB</t>
  </si>
  <si>
    <t>Monthly Internet service (cheapest available with 50/10 Mbps speeds)</t>
  </si>
  <si>
    <t>Use BC Housing RAP calculator https://www.bchousing.org/housing-assistance/rental-assistance-programs/rap-safer-calculator</t>
  </si>
  <si>
    <t>Other Household and Social Participation  Expenses:</t>
  </si>
  <si>
    <t>Textbook allowance - $150 per course</t>
  </si>
  <si>
    <t>CPI Jan-June 2022 Water, fuel and electricity - BC</t>
  </si>
  <si>
    <t>CPI Jan-June 2022 Clothing and footwear - BC</t>
  </si>
  <si>
    <t>CPI Jan-June 2022 Operation of Passenger Vehicles - BC</t>
  </si>
  <si>
    <t>CPI 2020 Clothing and footwear - BC</t>
  </si>
  <si>
    <t>MBM 2020 - all community sizes</t>
  </si>
  <si>
    <t>CPI 2020 Operation of Passenger Vehicles - BC</t>
  </si>
  <si>
    <t>MBM 2020 - Transportation, BC rural (single car)</t>
  </si>
  <si>
    <t>2021 LW  Incomes</t>
  </si>
  <si>
    <t>Percentage reflecting the higher rental costs of units available now (based on Census 2016)</t>
  </si>
  <si>
    <t xml:space="preserve">Median rent, 3+ bedrooms (CMHC) </t>
  </si>
  <si>
    <t xml:space="preserve">Total monthly rent </t>
  </si>
  <si>
    <t>One-time ICBC Rebate</t>
  </si>
  <si>
    <t>BCLICATC: Jan to June</t>
  </si>
  <si>
    <t>GST Credit: Jan to June</t>
  </si>
  <si>
    <t>Doubling of GST Credit: July to Dec</t>
  </si>
  <si>
    <t>BCLICATC: July to Sept</t>
  </si>
  <si>
    <t>BCLICATC: One-time enhanced Oct payment</t>
  </si>
  <si>
    <t>Monthly cost for 2 cell phones (cheapest mobile plan with at least 4GB data at 4G LTE speed)</t>
  </si>
  <si>
    <t>Average monthly cost of food basket in BC - 2022</t>
  </si>
  <si>
    <t>Shelter</t>
  </si>
  <si>
    <t>Monthly Shelter Cost:</t>
  </si>
  <si>
    <t>Monthly Phone and Internet Cost:</t>
  </si>
  <si>
    <t>Phone and Internet</t>
  </si>
  <si>
    <t xml:space="preserve">    Phone and Internet</t>
  </si>
  <si>
    <t xml:space="preserve">    Shelter </t>
  </si>
  <si>
    <t>%</t>
  </si>
  <si>
    <t xml:space="preserve"> Living Wage Calculation: Metro Vancouver - November 2022:  35 hrs/wk + 35 hrs/wk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</si>
</sst>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quot;$&quot;#,##0;[Red]\-&quot;$&quot;#,##0"/>
    <numFmt numFmtId="165" formatCode="&quot;$&quot;#,##0.00;[Red]\-&quot;$&quot;#,##0.00"/>
    <numFmt numFmtId="166" formatCode="_-* #,##0.00_-;\-* #,##0.00_-;_-* &quot;-&quot;??_-;_-@_-"/>
    <numFmt numFmtId="167" formatCode="0.0%"/>
    <numFmt numFmtId="168" formatCode="0.000"/>
    <numFmt numFmtId="169" formatCode="0.0000"/>
    <numFmt numFmtId="170" formatCode="_(* #,##0_);_(* \(#,##0\);_(* &quot;-&quot;??_);_(@_)"/>
    <numFmt numFmtId="171" formatCode="&quot;$&quot;#,##0"/>
    <numFmt numFmtId="172" formatCode="&quot;$&quot;#,##0.00"/>
    <numFmt numFmtId="173" formatCode="_(* #,##0.0_);_(* \(#,##0.0\);_(* &quot;-&quot;??_);_(@_)"/>
  </numFmts>
  <fonts count="18" x14ac:knownFonts="1">
    <font>
      <sz val="10"/>
      <name val="Arial"/>
    </font>
    <font>
      <sz val="12"/>
      <color indexed="8"/>
      <name val="Calibri"/>
      <family val="2"/>
    </font>
    <font>
      <sz val="10"/>
      <name val="Arial"/>
      <family val="2"/>
    </font>
    <font>
      <sz val="14"/>
      <name val="Arial"/>
      <family val="2"/>
    </font>
    <font>
      <sz val="12"/>
      <name val="Arial"/>
      <family val="2"/>
    </font>
    <font>
      <b/>
      <sz val="12"/>
      <name val="Arial"/>
      <family val="2"/>
    </font>
    <font>
      <b/>
      <sz val="10"/>
      <name val="Arial"/>
      <family val="2"/>
    </font>
    <font>
      <b/>
      <sz val="8"/>
      <name val="Arial"/>
      <family val="2"/>
    </font>
    <font>
      <sz val="8"/>
      <name val="Arial"/>
      <family val="2"/>
    </font>
    <font>
      <sz val="10"/>
      <name val="Verdana"/>
      <family val="2"/>
    </font>
    <font>
      <b/>
      <sz val="8"/>
      <name val="Verdana"/>
      <family val="2"/>
    </font>
    <font>
      <b/>
      <sz val="10"/>
      <name val="Verdana"/>
      <family val="2"/>
    </font>
    <font>
      <sz val="11"/>
      <color rgb="FF000000"/>
      <name val="Verdana"/>
      <family val="2"/>
    </font>
    <font>
      <sz val="10"/>
      <color rgb="FF0000FF"/>
      <name val="Arial"/>
      <family val="2"/>
    </font>
    <font>
      <u/>
      <sz val="10"/>
      <color theme="10"/>
      <name val="Arial"/>
      <family val="2"/>
    </font>
    <font>
      <u/>
      <sz val="10"/>
      <color theme="11"/>
      <name val="Arial"/>
      <family val="2"/>
    </font>
    <font>
      <sz val="10"/>
      <name val="Verdana"/>
      <family val="2"/>
    </font>
    <font>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7">
    <xf numFmtId="0" fontId="0"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cellStyleXfs>
  <cellXfs count="156">
    <xf numFmtId="0" fontId="0" fillId="0" borderId="0" xfId="0"/>
    <xf numFmtId="0" fontId="3" fillId="0" borderId="0" xfId="0" applyFont="1"/>
    <xf numFmtId="0" fontId="2" fillId="0" borderId="0" xfId="0" applyFont="1"/>
    <xf numFmtId="0" fontId="4" fillId="0" borderId="0" xfId="0" applyFont="1"/>
    <xf numFmtId="17" fontId="5" fillId="0" borderId="0" xfId="0" applyNumberFormat="1" applyFont="1" applyAlignment="1">
      <alignment horizontal="right"/>
    </xf>
    <xf numFmtId="0" fontId="5" fillId="0" borderId="0" xfId="0" applyFont="1" applyAlignment="1">
      <alignment horizontal="left"/>
    </xf>
    <xf numFmtId="0" fontId="5" fillId="0" borderId="0" xfId="0" applyFont="1"/>
    <xf numFmtId="0" fontId="6" fillId="0" borderId="0" xfId="0" applyFont="1" applyAlignment="1">
      <alignment horizontal="center"/>
    </xf>
    <xf numFmtId="0" fontId="6" fillId="0" borderId="0" xfId="0" applyFont="1"/>
    <xf numFmtId="167" fontId="0" fillId="0" borderId="0" xfId="2" applyNumberFormat="1" applyFont="1"/>
    <xf numFmtId="0" fontId="6" fillId="0" borderId="1"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right"/>
    </xf>
    <xf numFmtId="0" fontId="8" fillId="0" borderId="0" xfId="0" applyFont="1" applyAlignment="1">
      <alignment horizontal="left"/>
    </xf>
    <xf numFmtId="2" fontId="8" fillId="0" borderId="0" xfId="0" applyNumberFormat="1" applyFont="1" applyAlignment="1">
      <alignment horizontal="right"/>
    </xf>
    <xf numFmtId="0" fontId="6" fillId="0" borderId="0" xfId="0" applyFont="1" applyAlignment="1">
      <alignment horizontal="left"/>
    </xf>
    <xf numFmtId="0" fontId="9" fillId="0" borderId="1" xfId="0" applyFont="1" applyBorder="1"/>
    <xf numFmtId="2" fontId="9" fillId="0" borderId="1" xfId="0" applyNumberFormat="1" applyFont="1" applyBorder="1"/>
    <xf numFmtId="0" fontId="8" fillId="0" borderId="0" xfId="0" applyFont="1" applyAlignment="1">
      <alignment horizontal="right"/>
    </xf>
    <xf numFmtId="2" fontId="8" fillId="0" borderId="0" xfId="0" applyNumberFormat="1" applyFont="1" applyAlignment="1">
      <alignment horizontal="left"/>
    </xf>
    <xf numFmtId="2" fontId="0" fillId="0" borderId="0" xfId="0" applyNumberFormat="1"/>
    <xf numFmtId="0" fontId="0" fillId="0" borderId="0" xfId="0" applyAlignment="1">
      <alignment horizontal="left"/>
    </xf>
    <xf numFmtId="0" fontId="0" fillId="0" borderId="0" xfId="0" applyAlignment="1">
      <alignment horizontal="center"/>
    </xf>
    <xf numFmtId="167" fontId="8" fillId="0" borderId="1" xfId="2" applyNumberFormat="1" applyFont="1" applyBorder="1" applyAlignment="1">
      <alignment horizontal="center"/>
    </xf>
    <xf numFmtId="2" fontId="7" fillId="0" borderId="0" xfId="0" applyNumberFormat="1" applyFont="1" applyAlignment="1">
      <alignment horizontal="left"/>
    </xf>
    <xf numFmtId="2" fontId="7" fillId="0" borderId="0" xfId="0" applyNumberFormat="1" applyFont="1"/>
    <xf numFmtId="168" fontId="8" fillId="0" borderId="0" xfId="0" applyNumberFormat="1" applyFont="1" applyAlignment="1">
      <alignment horizontal="right"/>
    </xf>
    <xf numFmtId="169" fontId="8" fillId="0" borderId="0" xfId="0" applyNumberFormat="1" applyFont="1"/>
    <xf numFmtId="167" fontId="0" fillId="0" borderId="0" xfId="0" applyNumberFormat="1"/>
    <xf numFmtId="0" fontId="8" fillId="0" borderId="0" xfId="0" applyFont="1"/>
    <xf numFmtId="2" fontId="8" fillId="0" borderId="0" xfId="0" applyNumberFormat="1" applyFont="1"/>
    <xf numFmtId="168" fontId="8" fillId="0" borderId="0" xfId="0" applyNumberFormat="1" applyFont="1" applyAlignment="1">
      <alignment horizontal="left"/>
    </xf>
    <xf numFmtId="167" fontId="0" fillId="0" borderId="0" xfId="2" applyNumberFormat="1" applyFont="1" applyBorder="1"/>
    <xf numFmtId="0" fontId="10" fillId="0" borderId="1" xfId="0" applyFont="1" applyBorder="1"/>
    <xf numFmtId="167" fontId="7" fillId="0" borderId="1" xfId="2" applyNumberFormat="1" applyFont="1" applyBorder="1" applyAlignment="1">
      <alignment horizontal="center"/>
    </xf>
    <xf numFmtId="0" fontId="7" fillId="0" borderId="0" xfId="0" applyFont="1"/>
    <xf numFmtId="1" fontId="0" fillId="0" borderId="0" xfId="0" applyNumberFormat="1"/>
    <xf numFmtId="2" fontId="0" fillId="0" borderId="0" xfId="0" quotePrefix="1" applyNumberFormat="1"/>
    <xf numFmtId="2" fontId="7" fillId="0" borderId="0" xfId="0" quotePrefix="1" applyNumberFormat="1" applyFont="1" applyAlignment="1">
      <alignment horizontal="center"/>
    </xf>
    <xf numFmtId="2" fontId="7" fillId="0" borderId="0" xfId="0" applyNumberFormat="1" applyFont="1" applyAlignment="1">
      <alignment horizontal="center"/>
    </xf>
    <xf numFmtId="2" fontId="8" fillId="0" borderId="0" xfId="0" quotePrefix="1" applyNumberFormat="1" applyFont="1"/>
    <xf numFmtId="0" fontId="0" fillId="0" borderId="0" xfId="0" quotePrefix="1"/>
    <xf numFmtId="0" fontId="2" fillId="0" borderId="0" xfId="0" applyFont="1" applyAlignment="1">
      <alignment horizontal="center"/>
    </xf>
    <xf numFmtId="167" fontId="6" fillId="0" borderId="0" xfId="2" applyNumberFormat="1" applyFont="1"/>
    <xf numFmtId="167" fontId="6" fillId="0" borderId="0" xfId="0" applyNumberFormat="1" applyFont="1"/>
    <xf numFmtId="0" fontId="6" fillId="0" borderId="1" xfId="0" applyFont="1" applyBorder="1" applyAlignment="1">
      <alignment horizontal="left"/>
    </xf>
    <xf numFmtId="0" fontId="7" fillId="0" borderId="0" xfId="0" applyFont="1" applyAlignment="1">
      <alignment horizontal="center"/>
    </xf>
    <xf numFmtId="0" fontId="7" fillId="0" borderId="0" xfId="0" applyFont="1" applyAlignment="1">
      <alignment horizontal="left"/>
    </xf>
    <xf numFmtId="43" fontId="8" fillId="0" borderId="0" xfId="1" applyFont="1"/>
    <xf numFmtId="170" fontId="8" fillId="0" borderId="0" xfId="1" applyNumberFormat="1" applyFont="1"/>
    <xf numFmtId="0" fontId="8" fillId="0" borderId="0" xfId="0" quotePrefix="1" applyFont="1" applyAlignment="1">
      <alignment horizontal="left"/>
    </xf>
    <xf numFmtId="170" fontId="0" fillId="0" borderId="0" xfId="0" applyNumberFormat="1"/>
    <xf numFmtId="0" fontId="7" fillId="0" borderId="0" xfId="0" quotePrefix="1" applyFont="1" applyAlignment="1">
      <alignment horizontal="center"/>
    </xf>
    <xf numFmtId="170" fontId="8" fillId="0" borderId="0" xfId="0" applyNumberFormat="1" applyFont="1"/>
    <xf numFmtId="2" fontId="6" fillId="0" borderId="0" xfId="0" applyNumberFormat="1" applyFont="1"/>
    <xf numFmtId="0" fontId="5" fillId="0" borderId="1" xfId="0" applyFont="1" applyBorder="1" applyAlignment="1">
      <alignment horizontal="center"/>
    </xf>
    <xf numFmtId="2" fontId="7" fillId="0" borderId="1" xfId="0" applyNumberFormat="1" applyFont="1" applyBorder="1" applyAlignment="1">
      <alignment horizontal="center"/>
    </xf>
    <xf numFmtId="2" fontId="5" fillId="0" borderId="0" xfId="0" applyNumberFormat="1" applyFont="1"/>
    <xf numFmtId="2" fontId="6" fillId="0" borderId="0" xfId="0" applyNumberFormat="1" applyFont="1" applyAlignment="1">
      <alignment horizontal="center"/>
    </xf>
    <xf numFmtId="2" fontId="2" fillId="0" borderId="0" xfId="0" applyNumberFormat="1" applyFont="1"/>
    <xf numFmtId="0" fontId="8" fillId="0" borderId="1" xfId="0" applyFont="1" applyBorder="1"/>
    <xf numFmtId="171" fontId="8" fillId="0" borderId="1" xfId="0" applyNumberFormat="1" applyFont="1" applyBorder="1"/>
    <xf numFmtId="172" fontId="8" fillId="0" borderId="1" xfId="0" applyNumberFormat="1" applyFont="1" applyBorder="1"/>
    <xf numFmtId="171" fontId="8" fillId="0" borderId="0" xfId="0" applyNumberFormat="1" applyFont="1"/>
    <xf numFmtId="0" fontId="2" fillId="0" borderId="0" xfId="0" quotePrefix="1" applyFont="1"/>
    <xf numFmtId="2" fontId="9" fillId="0" borderId="0" xfId="0" applyNumberFormat="1" applyFont="1"/>
    <xf numFmtId="0" fontId="9" fillId="0" borderId="0" xfId="0" applyFont="1"/>
    <xf numFmtId="4" fontId="0" fillId="0" borderId="0" xfId="0" applyNumberFormat="1"/>
    <xf numFmtId="4" fontId="6" fillId="0" borderId="0" xfId="0" applyNumberFormat="1" applyFont="1"/>
    <xf numFmtId="9" fontId="0" fillId="0" borderId="0" xfId="2" applyFont="1"/>
    <xf numFmtId="17" fontId="11" fillId="0" borderId="0" xfId="0" applyNumberFormat="1" applyFont="1" applyAlignment="1">
      <alignment horizontal="right"/>
    </xf>
    <xf numFmtId="0" fontId="11" fillId="0" borderId="0" xfId="0" applyFont="1" applyAlignment="1">
      <alignment horizontal="left"/>
    </xf>
    <xf numFmtId="2" fontId="0" fillId="0" borderId="1" xfId="0" applyNumberFormat="1" applyBorder="1"/>
    <xf numFmtId="0" fontId="9" fillId="2" borderId="1" xfId="0" applyFont="1" applyFill="1" applyBorder="1"/>
    <xf numFmtId="2" fontId="0" fillId="0" borderId="0" xfId="0" applyNumberFormat="1" applyAlignment="1">
      <alignment horizontal="center"/>
    </xf>
    <xf numFmtId="0" fontId="11" fillId="0" borderId="0" xfId="0" applyFont="1"/>
    <xf numFmtId="0" fontId="9" fillId="0" borderId="0" xfId="0" applyFont="1" applyAlignment="1">
      <alignment wrapText="1"/>
    </xf>
    <xf numFmtId="0" fontId="9" fillId="3" borderId="0" xfId="0" applyFont="1" applyFill="1"/>
    <xf numFmtId="0" fontId="12" fillId="0" borderId="0" xfId="0" applyFont="1"/>
    <xf numFmtId="0" fontId="9" fillId="0" borderId="0" xfId="0" quotePrefix="1" applyFont="1"/>
    <xf numFmtId="43" fontId="9" fillId="0" borderId="0" xfId="0" applyNumberFormat="1" applyFont="1"/>
    <xf numFmtId="167" fontId="9" fillId="0" borderId="0" xfId="2" applyNumberFormat="1" applyFont="1"/>
    <xf numFmtId="43" fontId="9" fillId="0" borderId="0" xfId="0" applyNumberFormat="1" applyFont="1" applyAlignment="1">
      <alignment wrapText="1"/>
    </xf>
    <xf numFmtId="167" fontId="9" fillId="0" borderId="0" xfId="2" applyNumberFormat="1" applyFont="1" applyAlignment="1">
      <alignment wrapText="1"/>
    </xf>
    <xf numFmtId="4" fontId="9" fillId="3" borderId="1" xfId="0" applyNumberFormat="1" applyFont="1" applyFill="1" applyBorder="1"/>
    <xf numFmtId="4" fontId="9" fillId="0" borderId="1" xfId="0" applyNumberFormat="1" applyFont="1" applyBorder="1"/>
    <xf numFmtId="4" fontId="11" fillId="0" borderId="1" xfId="0" applyNumberFormat="1" applyFont="1" applyBorder="1"/>
    <xf numFmtId="4" fontId="9" fillId="2" borderId="1" xfId="0" applyNumberFormat="1" applyFont="1" applyFill="1" applyBorder="1"/>
    <xf numFmtId="4" fontId="6" fillId="0" borderId="0" xfId="0" applyNumberFormat="1" applyFont="1" applyAlignment="1">
      <alignment horizontal="center"/>
    </xf>
    <xf numFmtId="4" fontId="6" fillId="0" borderId="1" xfId="0" applyNumberFormat="1" applyFont="1" applyBorder="1" applyAlignment="1">
      <alignment horizontal="center"/>
    </xf>
    <xf numFmtId="4" fontId="9" fillId="0" borderId="1" xfId="0" applyNumberFormat="1" applyFont="1" applyBorder="1" applyAlignment="1">
      <alignment horizontal="right"/>
    </xf>
    <xf numFmtId="166" fontId="9" fillId="0" borderId="0" xfId="0" applyNumberFormat="1" applyFont="1"/>
    <xf numFmtId="0" fontId="8" fillId="0" borderId="0" xfId="0" quotePrefix="1" applyFont="1"/>
    <xf numFmtId="0" fontId="13" fillId="0" borderId="0" xfId="0" applyFont="1"/>
    <xf numFmtId="4" fontId="9" fillId="0" borderId="0" xfId="0" applyNumberFormat="1" applyFont="1"/>
    <xf numFmtId="4" fontId="0" fillId="0" borderId="0" xfId="0" applyNumberFormat="1" applyAlignment="1">
      <alignment horizontal="center"/>
    </xf>
    <xf numFmtId="172" fontId="8" fillId="0" borderId="0" xfId="0" quotePrefix="1" applyNumberFormat="1" applyFont="1"/>
    <xf numFmtId="172" fontId="0" fillId="0" borderId="0" xfId="0" quotePrefix="1" applyNumberFormat="1"/>
    <xf numFmtId="164" fontId="9" fillId="0" borderId="0" xfId="0" applyNumberFormat="1" applyFont="1"/>
    <xf numFmtId="164" fontId="0" fillId="0" borderId="0" xfId="0" applyNumberFormat="1"/>
    <xf numFmtId="165" fontId="9" fillId="0" borderId="0" xfId="0" applyNumberFormat="1" applyFont="1"/>
    <xf numFmtId="4" fontId="2" fillId="0" borderId="0" xfId="0" applyNumberFormat="1" applyFont="1"/>
    <xf numFmtId="4" fontId="8" fillId="0" borderId="0" xfId="0" applyNumberFormat="1" applyFont="1"/>
    <xf numFmtId="9" fontId="9" fillId="0" borderId="0" xfId="2" applyFont="1" applyAlignment="1">
      <alignment wrapText="1"/>
    </xf>
    <xf numFmtId="43" fontId="9" fillId="0" borderId="0" xfId="2" applyNumberFormat="1" applyFont="1" applyAlignment="1">
      <alignment wrapText="1"/>
    </xf>
    <xf numFmtId="0" fontId="9" fillId="3" borderId="0" xfId="0" applyFont="1" applyFill="1" applyAlignment="1">
      <alignment wrapText="1"/>
    </xf>
    <xf numFmtId="3" fontId="7" fillId="0" borderId="1" xfId="1" applyNumberFormat="1" applyFont="1" applyBorder="1" applyAlignment="1">
      <alignment horizontal="center"/>
    </xf>
    <xf numFmtId="43" fontId="9" fillId="0" borderId="0" xfId="1" applyFont="1" applyFill="1"/>
    <xf numFmtId="2" fontId="2" fillId="0" borderId="0" xfId="0" quotePrefix="1" applyNumberFormat="1" applyFont="1"/>
    <xf numFmtId="172" fontId="0" fillId="0" borderId="0" xfId="0" applyNumberFormat="1"/>
    <xf numFmtId="0" fontId="14" fillId="0" borderId="0" xfId="56"/>
    <xf numFmtId="0" fontId="7" fillId="0" borderId="5" xfId="0" applyFont="1" applyBorder="1" applyAlignment="1">
      <alignment horizontal="center"/>
    </xf>
    <xf numFmtId="0" fontId="6" fillId="0" borderId="3" xfId="0" applyFont="1" applyBorder="1" applyAlignment="1">
      <alignment horizontal="left"/>
    </xf>
    <xf numFmtId="0" fontId="6" fillId="0" borderId="4" xfId="0" applyFont="1" applyBorder="1" applyAlignment="1">
      <alignment horizontal="center"/>
    </xf>
    <xf numFmtId="0" fontId="0" fillId="0" borderId="2" xfId="0" applyBorder="1"/>
    <xf numFmtId="0" fontId="7" fillId="0" borderId="3" xfId="0" applyFont="1" applyBorder="1"/>
    <xf numFmtId="2" fontId="8" fillId="0" borderId="4" xfId="0" applyNumberFormat="1" applyFont="1" applyBorder="1"/>
    <xf numFmtId="2" fontId="2" fillId="0" borderId="2" xfId="0" applyNumberFormat="1" applyFont="1" applyBorder="1"/>
    <xf numFmtId="0" fontId="9" fillId="3" borderId="0" xfId="0" applyFont="1" applyFill="1" applyAlignment="1">
      <alignment horizontal="left" vertical="top" wrapText="1"/>
    </xf>
    <xf numFmtId="43" fontId="3" fillId="0" borderId="0" xfId="0" applyNumberFormat="1" applyFont="1"/>
    <xf numFmtId="43" fontId="4" fillId="0" borderId="0" xfId="0" applyNumberFormat="1" applyFont="1"/>
    <xf numFmtId="43" fontId="0" fillId="0" borderId="0" xfId="0" applyNumberFormat="1"/>
    <xf numFmtId="43" fontId="9" fillId="0" borderId="0" xfId="1" applyFont="1"/>
    <xf numFmtId="43" fontId="9" fillId="3" borderId="0" xfId="1" applyFont="1" applyFill="1"/>
    <xf numFmtId="43" fontId="11" fillId="0" borderId="0" xfId="1" applyFont="1" applyFill="1"/>
    <xf numFmtId="43" fontId="11" fillId="0" borderId="0" xfId="1" applyFont="1"/>
    <xf numFmtId="4" fontId="10" fillId="0" borderId="1" xfId="0" applyNumberFormat="1" applyFont="1" applyBorder="1"/>
    <xf numFmtId="4" fontId="0" fillId="3" borderId="1" xfId="0" applyNumberFormat="1" applyFill="1" applyBorder="1"/>
    <xf numFmtId="43" fontId="16" fillId="0" borderId="0" xfId="1" applyFont="1" applyFill="1"/>
    <xf numFmtId="173" fontId="16" fillId="0" borderId="0" xfId="1" applyNumberFormat="1" applyFont="1" applyFill="1"/>
    <xf numFmtId="43" fontId="0" fillId="0" borderId="0" xfId="0" quotePrefix="1" applyNumberFormat="1"/>
    <xf numFmtId="2" fontId="7" fillId="0" borderId="0" xfId="0" quotePrefix="1" applyNumberFormat="1" applyFont="1"/>
    <xf numFmtId="2" fontId="5" fillId="0" borderId="0" xfId="0" applyNumberFormat="1" applyFont="1" applyAlignment="1">
      <alignment horizontal="left"/>
    </xf>
    <xf numFmtId="0" fontId="9" fillId="0" borderId="1" xfId="0" applyFont="1" applyBorder="1" applyAlignment="1">
      <alignment horizontal="right"/>
    </xf>
    <xf numFmtId="2" fontId="11" fillId="0" borderId="1" xfId="0" applyNumberFormat="1" applyFont="1" applyBorder="1"/>
    <xf numFmtId="2" fontId="9" fillId="0" borderId="1" xfId="0" applyNumberFormat="1" applyFont="1" applyBorder="1" applyAlignment="1">
      <alignment horizontal="right"/>
    </xf>
    <xf numFmtId="4" fontId="2" fillId="0" borderId="0" xfId="0" quotePrefix="1" applyNumberFormat="1" applyFont="1"/>
    <xf numFmtId="10" fontId="11" fillId="0" borderId="0" xfId="2" quotePrefix="1" applyNumberFormat="1" applyFont="1"/>
    <xf numFmtId="9" fontId="9" fillId="0" borderId="0" xfId="2" applyFont="1"/>
    <xf numFmtId="10" fontId="9" fillId="0" borderId="0" xfId="2" applyNumberFormat="1" applyFont="1"/>
    <xf numFmtId="9" fontId="9" fillId="3" borderId="0" xfId="1" applyNumberFormat="1" applyFont="1" applyFill="1"/>
    <xf numFmtId="43" fontId="2" fillId="0" borderId="0" xfId="0" applyNumberFormat="1" applyFont="1"/>
    <xf numFmtId="3" fontId="9" fillId="0" borderId="0" xfId="0" applyNumberFormat="1" applyFont="1" applyAlignment="1">
      <alignment wrapText="1"/>
    </xf>
    <xf numFmtId="167" fontId="2" fillId="0" borderId="0" xfId="2" applyNumberFormat="1" applyFont="1"/>
    <xf numFmtId="43" fontId="9" fillId="0" borderId="0" xfId="2" applyNumberFormat="1" applyFont="1"/>
    <xf numFmtId="6" fontId="17" fillId="0" borderId="0" xfId="0" applyNumberFormat="1" applyFont="1"/>
    <xf numFmtId="0" fontId="8" fillId="0" borderId="3"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2" fontId="8" fillId="0" borderId="3" xfId="0" applyNumberFormat="1" applyFont="1" applyBorder="1" applyAlignment="1">
      <alignment horizontal="center"/>
    </xf>
    <xf numFmtId="2" fontId="8" fillId="0" borderId="2" xfId="0" applyNumberFormat="1" applyFont="1" applyBorder="1" applyAlignment="1">
      <alignment horizontal="center"/>
    </xf>
    <xf numFmtId="0" fontId="7" fillId="0" borderId="3" xfId="0" applyFont="1" applyBorder="1" applyAlignment="1">
      <alignment horizontal="left"/>
    </xf>
    <xf numFmtId="0" fontId="7" fillId="0" borderId="4" xfId="0" applyFont="1" applyBorder="1" applyAlignment="1">
      <alignment horizontal="left"/>
    </xf>
    <xf numFmtId="0" fontId="7" fillId="0" borderId="2" xfId="0" applyFont="1" applyBorder="1" applyAlignment="1">
      <alignment horizontal="left"/>
    </xf>
  </cellXfs>
  <cellStyles count="57">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cellStyle name="Normal" xfId="0" builtinId="0"/>
    <cellStyle name="Percent" xfId="2" builtinId="5"/>
    <cellStyle name="Percent 2" xfId="3" xr:uid="{00000000-0005-0000-0000-00003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527685</xdr:colOff>
      <xdr:row>5</xdr:row>
      <xdr:rowOff>50800</xdr:rowOff>
    </xdr:from>
    <xdr:to>
      <xdr:col>12</xdr:col>
      <xdr:colOff>488375</xdr:colOff>
      <xdr:row>16</xdr:row>
      <xdr:rowOff>91440</xdr:rowOff>
    </xdr:to>
    <xdr:sp macro="" textlink="">
      <xdr:nvSpPr>
        <xdr:cNvPr id="2" name="TextBox 1">
          <a:extLst>
            <a:ext uri="{FF2B5EF4-FFF2-40B4-BE49-F238E27FC236}">
              <a16:creationId xmlns:a16="http://schemas.microsoft.com/office/drawing/2014/main" id="{00000000-0008-0000-0000-000002000000}"/>
            </a:ext>
          </a:extLst>
        </xdr:cNvPr>
        <xdr:cNvSpPr txBox="1">
          <a:spLocks noChangeArrowheads="1"/>
        </xdr:cNvSpPr>
      </xdr:nvSpPr>
      <xdr:spPr bwMode="auto">
        <a:xfrm>
          <a:off x="6481445" y="1117600"/>
          <a:ext cx="7814370" cy="2174240"/>
        </a:xfrm>
        <a:prstGeom prst="rect">
          <a:avLst/>
        </a:prstGeom>
        <a:solidFill>
          <a:srgbClr val="FFFFFF"/>
        </a:solidFill>
        <a:ln w="9525">
          <a:solidFill>
            <a:srgbClr val="BCBCBC"/>
          </a:solidFill>
          <a:miter lim="800000"/>
          <a:headEnd/>
          <a:tailEnd/>
        </a:ln>
      </xdr:spPr>
      <xdr:txBody>
        <a:bodyPr wrap="square" lIns="91440" tIns="45720" rIns="91440" bIns="45720" anchor="t" upright="1"/>
        <a:lstStyle/>
        <a:p>
          <a:pPr algn="l" rtl="0">
            <a:defRPr sz="1000"/>
          </a:pPr>
          <a:r>
            <a:rPr lang="en-US" sz="1000" b="0" i="0" u="none" strike="noStrike" baseline="0">
              <a:solidFill>
                <a:srgbClr val="000000"/>
              </a:solidFill>
              <a:latin typeface="Verdana"/>
              <a:ea typeface="Verdana"/>
              <a:cs typeface="Verdana"/>
            </a:rPr>
            <a:t>INSTRUCTIONS: </a:t>
          </a:r>
        </a:p>
        <a:p>
          <a:pPr algn="l" rtl="0">
            <a:defRPr sz="1000"/>
          </a:pPr>
          <a:endParaRPr lang="en-US" sz="1000" b="0" i="0" u="none" strike="noStrike" baseline="0">
            <a:solidFill>
              <a:srgbClr val="DD0806"/>
            </a:solidFill>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Verdana"/>
              <a:ea typeface="Verdana"/>
              <a:cs typeface="Verdana"/>
            </a:rPr>
            <a:t>1. This spreadsheet includes family expenses for Metro Vancouver. To calculate your community's living wage, update the shaded cells in the "Family expenses" tab to reflect the actual costs of living in your community.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If this is the first time the living wage is being calculated for your municipality, use this spreadsheet tab which determines the government transfers for the family using this year's income. </a:t>
          </a:r>
        </a:p>
        <a:p>
          <a:pPr algn="l" rtl="0">
            <a:defRPr sz="1000"/>
          </a:pPr>
          <a:endParaRPr lang="en-US" sz="1000" b="0" i="0" u="none" strike="noStrike" baseline="0">
            <a:solidFill>
              <a:srgbClr val="000000"/>
            </a:solidFill>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Verdana"/>
              <a:ea typeface="Verdana"/>
              <a:cs typeface="Verdana"/>
            </a:rPr>
            <a:t>3. If previously calculated, use last year's living wage family income to determine the government transfers and subsidies that the family will be eligible for. This is how government transfers are calculated in practice, and this method was used for the Metro Vancouver </a:t>
          </a:r>
          <a:r>
            <a:rPr lang="en-US" sz="1000" b="0" i="0" u="none" strike="noStrike" baseline="0">
              <a:solidFill>
                <a:schemeClr val="tx1"/>
              </a:solidFill>
              <a:latin typeface="Verdana"/>
              <a:ea typeface="Verdana"/>
              <a:cs typeface="Verdana"/>
            </a:rPr>
            <a:t>2022 Living </a:t>
          </a:r>
          <a:r>
            <a:rPr lang="en-US" sz="1000" b="0" i="0" u="none" strike="noStrike" baseline="0">
              <a:solidFill>
                <a:srgbClr val="000000"/>
              </a:solidFill>
              <a:latin typeface="Verdana"/>
              <a:ea typeface="Verdana"/>
              <a:cs typeface="Verdana"/>
            </a:rPr>
            <a:t>Wage Update. Use the second tab in this spreadsheet, titled "Using last year's LW income" and enter the last year's family income from table IV in your 2020 Living Wage Calculation Spreadsheet in the shaded cells of Table IIa.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672465</xdr:colOff>
      <xdr:row>5</xdr:row>
      <xdr:rowOff>73660</xdr:rowOff>
    </xdr:from>
    <xdr:to>
      <xdr:col>11</xdr:col>
      <xdr:colOff>344620</xdr:colOff>
      <xdr:row>17</xdr:row>
      <xdr:rowOff>71120</xdr:rowOff>
    </xdr:to>
    <xdr:sp macro="" textlink="">
      <xdr:nvSpPr>
        <xdr:cNvPr id="3" name="TextBox 2">
          <a:extLst>
            <a:ext uri="{FF2B5EF4-FFF2-40B4-BE49-F238E27FC236}">
              <a16:creationId xmlns:a16="http://schemas.microsoft.com/office/drawing/2014/main" id="{E2D97FE7-2CAB-C045-8CA6-21846545E8B8}"/>
            </a:ext>
          </a:extLst>
        </xdr:cNvPr>
        <xdr:cNvSpPr txBox="1">
          <a:spLocks noChangeArrowheads="1"/>
        </xdr:cNvSpPr>
      </xdr:nvSpPr>
      <xdr:spPr bwMode="auto">
        <a:xfrm>
          <a:off x="6626225" y="1140460"/>
          <a:ext cx="7454715" cy="2344420"/>
        </a:xfrm>
        <a:prstGeom prst="rect">
          <a:avLst/>
        </a:prstGeom>
        <a:solidFill>
          <a:srgbClr val="FFFFFF"/>
        </a:solidFill>
        <a:ln w="9525">
          <a:solidFill>
            <a:srgbClr val="BCBCBC"/>
          </a:solidFill>
          <a:miter lim="800000"/>
          <a:headEnd/>
          <a:tailEnd/>
        </a:ln>
      </xdr:spPr>
      <xdr:txBody>
        <a:bodyPr wrap="square" lIns="91440" tIns="45720" rIns="91440" bIns="45720" anchor="t" upright="1"/>
        <a:lstStyle/>
        <a:p>
          <a:pPr algn="l" rtl="0">
            <a:lnSpc>
              <a:spcPts val="1100"/>
            </a:lnSpc>
            <a:defRPr sz="1000"/>
          </a:pPr>
          <a:r>
            <a:rPr lang="en-US" sz="1000" b="0" i="0" u="none" strike="noStrike" baseline="0">
              <a:solidFill>
                <a:srgbClr val="000000"/>
              </a:solidFill>
              <a:latin typeface="Verdana"/>
              <a:ea typeface="Verdana"/>
              <a:cs typeface="Verdana"/>
            </a:rPr>
            <a:t>INSTRUCTIONS: </a:t>
          </a:r>
        </a:p>
        <a:p>
          <a:pPr algn="l" rtl="0">
            <a:lnSpc>
              <a:spcPts val="1100"/>
            </a:lnSpc>
            <a:defRPr sz="1000"/>
          </a:pPr>
          <a:endParaRPr lang="en-US" sz="1000" b="0" i="0" u="none" strike="noStrike" baseline="0">
            <a:solidFill>
              <a:srgbClr val="DD0806"/>
            </a:solidFill>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Verdana"/>
              <a:ea typeface="Verdana"/>
              <a:cs typeface="Verdana"/>
            </a:rPr>
            <a:t>1. This spreadsheet includes family expenses for Metro Vancouver. To calculate your community's living wage, update the shaded cells in the "Family expenses" tab to reflect the actual costs of living in your community.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2. If previously calculated, use last year's living wage family income to determine the government transfers and subsidies that the family will be eligible for. This is how government transfers are calculated in practice, and this method was used for the Metro Vancouver 2022 Living Wage Update. Use this spreadsheet tab for your calculation and enter last year's family income from table IV in your 2021 Living Wage Calculation Spreadsheet in the shaded cells of Table IIa. </a:t>
          </a:r>
        </a:p>
        <a:p>
          <a:pPr algn="l" rtl="0">
            <a:defRPr sz="1000"/>
          </a:pPr>
          <a:endParaRPr lang="en-US" sz="1000" b="0" i="0" u="none" strike="noStrike" baseline="0">
            <a:solidFill>
              <a:srgbClr val="000000"/>
            </a:solidFill>
            <a:latin typeface="Verdana"/>
            <a:ea typeface="Verdana"/>
            <a:cs typeface="Verdana"/>
          </a:endParaRPr>
        </a:p>
        <a:p>
          <a:pPr algn="l" rtl="0">
            <a:lnSpc>
              <a:spcPct val="100000"/>
            </a:lnSpc>
            <a:defRPr sz="1000"/>
          </a:pPr>
          <a:r>
            <a:rPr lang="en-US" sz="1000" b="0" i="0" u="none" strike="noStrike" baseline="0">
              <a:solidFill>
                <a:srgbClr val="000000"/>
              </a:solidFill>
              <a:latin typeface="Verdana"/>
              <a:ea typeface="Verdana"/>
              <a:cs typeface="Verdana"/>
            </a:rPr>
            <a:t>2. If this is the first time the living wage is being calculated for your community, use the first tab in this spreadsheet, titled "First time LW calculation," which determines the government transfers for the family using this year's income.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1222375</xdr:colOff>
      <xdr:row>4</xdr:row>
      <xdr:rowOff>73025</xdr:rowOff>
    </xdr:from>
    <xdr:to>
      <xdr:col>9</xdr:col>
      <xdr:colOff>589280</xdr:colOff>
      <xdr:row>13</xdr:row>
      <xdr:rowOff>111760</xdr:rowOff>
    </xdr:to>
    <xdr:sp macro="" textlink="">
      <xdr:nvSpPr>
        <xdr:cNvPr id="2" name="Text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79895" y="926465"/>
          <a:ext cx="6621145" cy="1958975"/>
        </a:xfrm>
        <a:prstGeom prst="rect">
          <a:avLst/>
        </a:prstGeom>
        <a:solidFill>
          <a:srgbClr val="FFFFFF"/>
        </a:solidFill>
        <a:ln w="9525">
          <a:solidFill>
            <a:srgbClr val="BCBCBC"/>
          </a:solidFill>
          <a:miter lim="800000"/>
          <a:headEnd/>
          <a:tailEnd/>
        </a:ln>
      </xdr:spPr>
      <xdr:txBody>
        <a:bodyPr wrap="square" lIns="91440" tIns="45720" rIns="91440" bIns="45720" anchor="t" upright="1"/>
        <a:lstStyle/>
        <a:p>
          <a:pPr algn="l" rtl="0">
            <a:defRPr sz="1000"/>
          </a:pPr>
          <a:r>
            <a:rPr lang="en-US" sz="1000" b="0" i="0" u="none" strike="noStrike" baseline="0">
              <a:solidFill>
                <a:srgbClr val="000000"/>
              </a:solidFill>
              <a:latin typeface="Verdana"/>
              <a:ea typeface="Verdana"/>
              <a:cs typeface="Verdana"/>
            </a:rPr>
            <a:t>INSTRUCTIONS: </a:t>
          </a:r>
        </a:p>
        <a:p>
          <a:pPr algn="l" rtl="0">
            <a:lnSpc>
              <a:spcPct val="100000"/>
            </a:lnSpc>
            <a:defRPr sz="1000"/>
          </a:pPr>
          <a:endParaRPr lang="en-US" sz="1000" b="0" i="0" u="none" strike="noStrike" baseline="0">
            <a:solidFill>
              <a:srgbClr val="DD0806"/>
            </a:solidFill>
            <a:latin typeface="Verdana"/>
            <a:ea typeface="Verdana"/>
            <a:cs typeface="Verdana"/>
          </a:endParaRPr>
        </a:p>
        <a:p>
          <a:pPr algn="l" rtl="0">
            <a:lnSpc>
              <a:spcPct val="100000"/>
            </a:lnSpc>
            <a:defRPr sz="1000"/>
          </a:pPr>
          <a:r>
            <a:rPr lang="en-US" sz="1000" b="0" i="0" u="none" strike="noStrike" baseline="0">
              <a:solidFill>
                <a:srgbClr val="000000"/>
              </a:solidFill>
              <a:latin typeface="Verdana"/>
              <a:ea typeface="Verdana"/>
              <a:cs typeface="Verdana"/>
            </a:rPr>
            <a:t>1. The family expenses included in this spreadsheet follow the 2022 BC Living Wage Calculation Guide.</a:t>
          </a:r>
        </a:p>
        <a:p>
          <a:pPr algn="l" rtl="0">
            <a:lnSpc>
              <a:spcPct val="100000"/>
            </a:lnSpc>
            <a:defRPr sz="1000"/>
          </a:pPr>
          <a:endParaRPr lang="en-US" sz="1000" b="0" i="0" u="none" strike="noStrike" baseline="0">
            <a:solidFill>
              <a:srgbClr val="000000"/>
            </a:solidFill>
            <a:latin typeface="Verdana"/>
            <a:ea typeface="Verdana"/>
            <a:cs typeface="Verdana"/>
          </a:endParaRPr>
        </a:p>
        <a:p>
          <a:pPr algn="l" rtl="0">
            <a:lnSpc>
              <a:spcPct val="100000"/>
            </a:lnSpc>
            <a:defRPr sz="1000"/>
          </a:pPr>
          <a:r>
            <a:rPr lang="en-US" sz="1000" b="0" i="0" u="none" strike="noStrike" baseline="0">
              <a:solidFill>
                <a:srgbClr val="000000"/>
              </a:solidFill>
              <a:latin typeface="Verdana"/>
              <a:ea typeface="Verdana"/>
              <a:cs typeface="Verdana"/>
            </a:rPr>
            <a:t>2. Shaded cells need to be updated with the costs of these items in your community. Cells that are not shaded contain provincial-level data and do not need to be changed.</a:t>
          </a:r>
        </a:p>
        <a:p>
          <a:pPr algn="l" rtl="0">
            <a:lnSpc>
              <a:spcPct val="100000"/>
            </a:lnSpc>
            <a:defRPr sz="1000"/>
          </a:pPr>
          <a:endParaRPr lang="en-US" sz="1000" b="0" i="0" u="none" strike="noStrike" baseline="0">
            <a:solidFill>
              <a:srgbClr val="000000"/>
            </a:solidFill>
            <a:latin typeface="Verdana"/>
            <a:ea typeface="Verdana"/>
            <a:cs typeface="Verdana"/>
          </a:endParaRPr>
        </a:p>
        <a:p>
          <a:pPr algn="l" rtl="0">
            <a:lnSpc>
              <a:spcPct val="100000"/>
            </a:lnSpc>
            <a:defRPr sz="1000"/>
          </a:pPr>
          <a:r>
            <a:rPr lang="en-US" sz="1000" b="0" i="0" u="none" strike="noStrike" baseline="0">
              <a:solidFill>
                <a:srgbClr val="000000"/>
              </a:solidFill>
              <a:latin typeface="Verdana"/>
              <a:ea typeface="Verdana"/>
              <a:cs typeface="Verdana"/>
            </a:rPr>
            <a:t>3. It is important to not delete any rows in this spreadsheet, as some cells are linked to calculations in the other two tabs of the spreadsheet. If a particular expense does not apply in your community, set its cost to 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9"/>
  <sheetViews>
    <sheetView zoomScale="125" zoomScaleNormal="125" zoomScalePageLayoutView="125" workbookViewId="0">
      <selection activeCell="B4" sqref="B4"/>
    </sheetView>
  </sheetViews>
  <sheetFormatPr baseColWidth="10" defaultColWidth="12.5" defaultRowHeight="17" customHeight="1" x14ac:dyDescent="0.15"/>
  <cols>
    <col min="1" max="1" width="40.5" customWidth="1"/>
    <col min="8" max="8" width="15.33203125" customWidth="1"/>
  </cols>
  <sheetData>
    <row r="1" spans="1:28" ht="17" customHeight="1" x14ac:dyDescent="0.2">
      <c r="A1" s="1" t="s">
        <v>137</v>
      </c>
      <c r="B1" s="1"/>
      <c r="C1" s="94"/>
      <c r="D1" s="2"/>
      <c r="E1" s="2"/>
      <c r="F1" s="2"/>
      <c r="G1" s="2"/>
      <c r="H1" s="2"/>
      <c r="I1" s="2"/>
    </row>
    <row r="2" spans="1:28" s="3" customFormat="1" ht="17" customHeight="1" x14ac:dyDescent="0.2">
      <c r="B2" s="3" t="s">
        <v>0</v>
      </c>
      <c r="D2" s="4"/>
      <c r="E2" s="5"/>
    </row>
    <row r="3" spans="1:28" ht="17" customHeight="1" x14ac:dyDescent="0.2">
      <c r="A3" s="2" t="s">
        <v>1</v>
      </c>
      <c r="C3" s="3"/>
      <c r="D3" s="4"/>
      <c r="E3" s="5"/>
      <c r="F3" s="3"/>
      <c r="G3" s="3"/>
      <c r="H3" s="3"/>
      <c r="I3" s="3"/>
      <c r="J3" s="3"/>
    </row>
    <row r="4" spans="1:28" ht="17" customHeight="1" x14ac:dyDescent="0.2">
      <c r="A4" s="2"/>
      <c r="C4" s="3"/>
      <c r="D4" s="4"/>
      <c r="E4" s="5"/>
      <c r="F4" s="3"/>
      <c r="G4" s="3"/>
      <c r="H4" s="3"/>
      <c r="I4" s="3"/>
      <c r="J4" s="3"/>
    </row>
    <row r="5" spans="1:28" ht="17" customHeight="1" x14ac:dyDescent="0.2">
      <c r="A5" s="3"/>
      <c r="B5" s="2"/>
      <c r="C5" s="3"/>
      <c r="D5" s="4"/>
      <c r="E5" s="5"/>
      <c r="F5" s="3"/>
      <c r="G5" s="3"/>
      <c r="H5" s="3"/>
      <c r="I5" s="3"/>
      <c r="J5" s="3"/>
    </row>
    <row r="6" spans="1:28" ht="17" customHeight="1" x14ac:dyDescent="0.2">
      <c r="A6" s="6" t="s">
        <v>2</v>
      </c>
    </row>
    <row r="7" spans="1:28" ht="17" customHeight="1" x14ac:dyDescent="0.2">
      <c r="C7" s="6"/>
      <c r="J7" s="7"/>
      <c r="L7" s="7"/>
      <c r="M7" s="8"/>
      <c r="N7" s="8"/>
      <c r="O7" s="8"/>
      <c r="P7" s="8"/>
      <c r="Q7" s="8"/>
      <c r="S7" s="9"/>
    </row>
    <row r="8" spans="1:28" ht="17" customHeight="1" x14ac:dyDescent="0.15">
      <c r="A8" s="10" t="s">
        <v>3</v>
      </c>
      <c r="B8" s="11" t="s">
        <v>4</v>
      </c>
      <c r="C8" s="11" t="s">
        <v>5</v>
      </c>
      <c r="D8" s="12" t="s">
        <v>6</v>
      </c>
      <c r="F8" s="13"/>
      <c r="G8" s="7"/>
      <c r="H8" s="14"/>
      <c r="I8" s="15"/>
      <c r="J8" s="7"/>
      <c r="L8" s="16"/>
      <c r="P8" s="7"/>
      <c r="Q8" s="8"/>
      <c r="R8" s="8"/>
      <c r="S8" s="8"/>
      <c r="T8" s="8"/>
      <c r="U8" s="8"/>
      <c r="W8" s="7"/>
      <c r="X8" s="8"/>
      <c r="Y8" s="8"/>
      <c r="Z8" s="8"/>
      <c r="AA8" s="8"/>
      <c r="AB8" s="8"/>
    </row>
    <row r="9" spans="1:28" ht="17" customHeight="1" x14ac:dyDescent="0.15">
      <c r="A9" s="17" t="s">
        <v>7</v>
      </c>
      <c r="B9" s="18"/>
      <c r="C9" s="18"/>
      <c r="D9" s="12" t="s">
        <v>8</v>
      </c>
      <c r="F9" s="19"/>
      <c r="H9" s="20"/>
      <c r="I9" s="15"/>
      <c r="J9" s="21"/>
      <c r="K9" s="21"/>
      <c r="L9" s="22"/>
      <c r="M9" s="21"/>
      <c r="P9" s="23"/>
      <c r="W9" s="23"/>
    </row>
    <row r="10" spans="1:28" ht="17" customHeight="1" x14ac:dyDescent="0.15">
      <c r="A10" s="17" t="s">
        <v>9</v>
      </c>
      <c r="B10" s="86">
        <f>'Family expenses'!B9</f>
        <v>1114.2021377672208</v>
      </c>
      <c r="C10" s="86">
        <f>B10*12</f>
        <v>13370.42565320665</v>
      </c>
      <c r="D10" s="24">
        <f>C10/C21</f>
        <v>0.14711434484700511</v>
      </c>
      <c r="F10" s="19"/>
      <c r="G10" s="21"/>
      <c r="H10" s="25"/>
      <c r="I10" s="26"/>
      <c r="J10" s="7"/>
      <c r="K10" s="21"/>
      <c r="L10" s="22"/>
      <c r="M10" s="21"/>
      <c r="P10" s="23"/>
      <c r="T10" s="9"/>
      <c r="W10" s="23"/>
      <c r="AA10" s="9"/>
    </row>
    <row r="11" spans="1:28" ht="17" customHeight="1" x14ac:dyDescent="0.15">
      <c r="A11" s="17" t="s">
        <v>10</v>
      </c>
      <c r="B11" s="86">
        <f>C11/12</f>
        <v>173.83333333333334</v>
      </c>
      <c r="C11" s="86">
        <f>'Family expenses'!B15</f>
        <v>2086</v>
      </c>
      <c r="D11" s="24">
        <f>C11/C21</f>
        <v>2.295218800885767E-2</v>
      </c>
      <c r="F11" s="27"/>
      <c r="G11" s="28"/>
      <c r="H11" s="23"/>
      <c r="I11" s="23"/>
      <c r="J11" s="21"/>
      <c r="K11" s="21"/>
      <c r="L11" s="22"/>
      <c r="M11" s="21"/>
      <c r="P11" s="23"/>
      <c r="T11" s="9"/>
      <c r="U11" s="29"/>
      <c r="W11" s="23"/>
      <c r="AA11" s="9"/>
      <c r="AB11" s="29"/>
    </row>
    <row r="12" spans="1:28" ht="17" customHeight="1" x14ac:dyDescent="0.15">
      <c r="A12" s="17" t="s">
        <v>135</v>
      </c>
      <c r="B12" s="86">
        <f>'Family expenses'!B25</f>
        <v>2483.7147368421056</v>
      </c>
      <c r="C12" s="86">
        <f>B12*12</f>
        <v>29804.576842105267</v>
      </c>
      <c r="D12" s="24">
        <f>C12/C21</f>
        <v>0.32793875896665653</v>
      </c>
      <c r="F12" s="19"/>
      <c r="G12" s="21"/>
      <c r="H12" s="30"/>
      <c r="I12" s="31"/>
      <c r="J12" s="7"/>
      <c r="K12" s="21"/>
      <c r="L12" s="22"/>
      <c r="M12" s="21"/>
      <c r="P12" s="23"/>
      <c r="T12" s="9"/>
      <c r="U12" s="29"/>
      <c r="W12" s="23"/>
      <c r="AA12" s="9"/>
      <c r="AB12" s="29"/>
    </row>
    <row r="13" spans="1:28" ht="17" customHeight="1" x14ac:dyDescent="0.15">
      <c r="A13" s="17" t="s">
        <v>134</v>
      </c>
      <c r="B13" s="86">
        <f>'Family expenses'!B30</f>
        <v>196.49280000000002</v>
      </c>
      <c r="C13" s="86">
        <f>B13*12</f>
        <v>2357.9136000000003</v>
      </c>
      <c r="D13" s="24">
        <f>C13/C21</f>
        <v>2.5944044226194837E-2</v>
      </c>
      <c r="F13" s="19"/>
      <c r="G13" s="21"/>
      <c r="H13" s="30"/>
      <c r="I13" s="31"/>
      <c r="J13" s="7"/>
      <c r="K13" s="21"/>
      <c r="L13" s="22"/>
      <c r="M13" s="21"/>
      <c r="P13" s="23"/>
      <c r="T13" s="9"/>
      <c r="U13" s="29"/>
      <c r="W13" s="23"/>
      <c r="AA13" s="9"/>
      <c r="AB13" s="29"/>
    </row>
    <row r="14" spans="1:28" ht="17" customHeight="1" x14ac:dyDescent="0.15">
      <c r="A14" s="17" t="s">
        <v>11</v>
      </c>
      <c r="B14" s="86">
        <f>C14/12</f>
        <v>545.6433656957928</v>
      </c>
      <c r="C14" s="86">
        <f>'Family expenses'!B38</f>
        <v>6547.7203883495131</v>
      </c>
      <c r="D14" s="24">
        <f>C14/C21</f>
        <v>7.2044347738652245E-2</v>
      </c>
      <c r="F14" s="32"/>
      <c r="H14" s="31"/>
      <c r="I14" s="31"/>
      <c r="J14" s="33"/>
      <c r="K14" s="21"/>
      <c r="L14" s="22"/>
      <c r="M14" s="21"/>
      <c r="P14" s="23"/>
      <c r="T14" s="9"/>
      <c r="U14" s="29"/>
      <c r="W14" s="23"/>
      <c r="AA14" s="9"/>
      <c r="AB14" s="29"/>
    </row>
    <row r="15" spans="1:28" ht="17" customHeight="1" x14ac:dyDescent="0.15">
      <c r="A15" s="17" t="s">
        <v>77</v>
      </c>
      <c r="B15" s="86">
        <f>C15/12</f>
        <v>971.17874520981786</v>
      </c>
      <c r="C15" s="86">
        <f>(C10+C11)*0.754</f>
        <v>11654.144942517814</v>
      </c>
      <c r="D15" s="24">
        <f>C15/C21</f>
        <v>0.12823016577332053</v>
      </c>
      <c r="F15" s="19"/>
      <c r="G15" s="21"/>
      <c r="H15" s="26"/>
      <c r="I15" s="26"/>
      <c r="J15" s="21"/>
      <c r="K15" s="21"/>
      <c r="L15" s="22"/>
      <c r="M15" s="21"/>
      <c r="P15" s="23"/>
      <c r="R15" s="8"/>
      <c r="T15" s="9"/>
      <c r="U15" s="29"/>
      <c r="W15" s="23"/>
      <c r="Y15" s="8"/>
      <c r="AA15" s="9"/>
      <c r="AB15" s="29"/>
    </row>
    <row r="16" spans="1:28" s="36" customFormat="1" ht="17" customHeight="1" x14ac:dyDescent="0.15">
      <c r="A16" s="34" t="s">
        <v>12</v>
      </c>
      <c r="B16" s="127"/>
      <c r="C16" s="127">
        <f>SUM(C10:C15)</f>
        <v>65820.781426179237</v>
      </c>
      <c r="D16" s="35">
        <f>C16/C21</f>
        <v>0.72422384956068686</v>
      </c>
      <c r="E16"/>
      <c r="F16" s="13"/>
      <c r="G16" s="26"/>
      <c r="H16" s="31"/>
      <c r="I16" s="31"/>
      <c r="J16" s="26"/>
      <c r="K16" s="26"/>
      <c r="L16" s="22"/>
      <c r="M16" s="21"/>
      <c r="N16"/>
      <c r="O16"/>
      <c r="P16" s="23"/>
      <c r="Q16"/>
      <c r="R16"/>
      <c r="S16"/>
      <c r="T16" s="9"/>
      <c r="U16" s="29"/>
      <c r="W16" s="23"/>
      <c r="X16"/>
      <c r="Y16"/>
      <c r="Z16"/>
      <c r="AA16" s="9"/>
      <c r="AB16" s="29"/>
    </row>
    <row r="17" spans="1:28" ht="17" customHeight="1" x14ac:dyDescent="0.15">
      <c r="A17" s="17" t="s">
        <v>13</v>
      </c>
      <c r="B17" s="86">
        <f>C17/12</f>
        <v>1476.9166666666667</v>
      </c>
      <c r="C17" s="86">
        <f>'Family expenses'!B50</f>
        <v>17723</v>
      </c>
      <c r="D17" s="24">
        <f>C17/C21</f>
        <v>0.1950055743437126</v>
      </c>
      <c r="F17" s="19"/>
      <c r="G17" s="21"/>
      <c r="H17" s="36"/>
      <c r="I17" s="26"/>
      <c r="J17" s="21"/>
      <c r="K17" s="21"/>
      <c r="L17" s="23"/>
      <c r="M17" s="37"/>
      <c r="N17" s="37"/>
      <c r="P17" s="23"/>
      <c r="R17" s="8"/>
      <c r="T17" s="9"/>
      <c r="U17" s="29"/>
      <c r="W17" s="23"/>
      <c r="Y17" s="8"/>
      <c r="AA17" s="9"/>
      <c r="AB17" s="29"/>
    </row>
    <row r="18" spans="1:28" ht="17" customHeight="1" x14ac:dyDescent="0.15">
      <c r="A18" s="17" t="s">
        <v>78</v>
      </c>
      <c r="B18" s="86">
        <f>'Family expenses'!B53</f>
        <v>225</v>
      </c>
      <c r="C18" s="86">
        <f>B18*12</f>
        <v>2700</v>
      </c>
      <c r="D18" s="24">
        <f>C18/C21</f>
        <v>2.9708009407438018E-2</v>
      </c>
      <c r="F18" s="15"/>
      <c r="H18" s="21"/>
      <c r="I18" s="21"/>
      <c r="J18" s="21"/>
      <c r="K18" s="21"/>
      <c r="L18" s="23"/>
      <c r="P18" s="23"/>
      <c r="Q18" s="37"/>
      <c r="T18" s="9"/>
      <c r="U18" s="29"/>
      <c r="W18" s="23"/>
      <c r="X18" s="37"/>
      <c r="AA18" s="9"/>
      <c r="AB18" s="29"/>
    </row>
    <row r="19" spans="1:28" ht="17" customHeight="1" x14ac:dyDescent="0.15">
      <c r="A19" s="17" t="s">
        <v>79</v>
      </c>
      <c r="B19" s="86">
        <f>C19/12</f>
        <v>280.93333333333334</v>
      </c>
      <c r="C19" s="86">
        <f>B52*B53*2+C52*C53*2</f>
        <v>3371.2</v>
      </c>
      <c r="D19" s="24">
        <f>C19/C21</f>
        <v>3.7093200486798164E-2</v>
      </c>
      <c r="F19" s="19"/>
      <c r="G19" s="38"/>
      <c r="H19" s="21"/>
      <c r="I19" s="21"/>
      <c r="J19" s="21"/>
      <c r="K19" s="2"/>
      <c r="M19" s="23"/>
      <c r="Q19" s="9"/>
      <c r="R19" s="29"/>
      <c r="T19" s="23"/>
      <c r="X19" s="9"/>
      <c r="Y19" s="29"/>
    </row>
    <row r="20" spans="1:28" ht="17" customHeight="1" x14ac:dyDescent="0.15">
      <c r="A20" s="17" t="s">
        <v>14</v>
      </c>
      <c r="B20" s="86">
        <f>C20/12</f>
        <v>105.8</v>
      </c>
      <c r="C20" s="86">
        <f>'Family expenses'!B59</f>
        <v>1269.5999999999999</v>
      </c>
      <c r="D20" s="24">
        <f>C20/C21</f>
        <v>1.3969366201364188E-2</v>
      </c>
      <c r="F20" s="19"/>
      <c r="G20" s="39"/>
      <c r="H20" s="40"/>
      <c r="I20" s="40"/>
      <c r="J20" s="40"/>
      <c r="K20" s="2"/>
      <c r="M20" s="23"/>
      <c r="N20" s="2"/>
      <c r="O20" s="2"/>
      <c r="Q20" s="9"/>
      <c r="R20" s="29"/>
      <c r="T20" s="23"/>
      <c r="U20" s="2"/>
      <c r="V20" s="2"/>
      <c r="X20" s="9"/>
      <c r="Y20" s="29"/>
    </row>
    <row r="21" spans="1:28" ht="17" customHeight="1" x14ac:dyDescent="0.15">
      <c r="A21" s="17" t="s">
        <v>15</v>
      </c>
      <c r="B21" s="86">
        <f>SUM(B9:B20)</f>
        <v>7573.7151188482703</v>
      </c>
      <c r="C21" s="86">
        <f>SUM(C10:C20)-C16</f>
        <v>90884.581426179255</v>
      </c>
      <c r="D21" s="24">
        <f>C21/C21</f>
        <v>1</v>
      </c>
      <c r="F21" s="15"/>
      <c r="G21" s="41"/>
      <c r="H21" s="31"/>
      <c r="I21" s="31"/>
      <c r="J21" s="31"/>
      <c r="K21" s="2"/>
      <c r="M21" s="23"/>
      <c r="N21" s="2"/>
      <c r="Q21" s="9"/>
      <c r="R21" s="29"/>
      <c r="T21" s="23"/>
      <c r="U21" s="2"/>
      <c r="X21" s="9"/>
      <c r="Y21" s="29"/>
    </row>
    <row r="22" spans="1:28" ht="17" customHeight="1" x14ac:dyDescent="0.15">
      <c r="B22" s="21"/>
      <c r="C22" s="21"/>
      <c r="D22" s="21"/>
      <c r="F22" s="21"/>
      <c r="G22" s="21"/>
      <c r="H22" s="33"/>
      <c r="I22" s="21"/>
      <c r="J22" s="31"/>
      <c r="M22" s="23"/>
      <c r="N22" s="2"/>
      <c r="Q22" s="9"/>
      <c r="R22" s="29"/>
      <c r="T22" s="23"/>
      <c r="U22" s="2"/>
      <c r="X22" s="9"/>
      <c r="Y22" s="29"/>
    </row>
    <row r="23" spans="1:28" ht="17" customHeight="1" x14ac:dyDescent="0.15">
      <c r="A23" s="42"/>
      <c r="B23" s="21"/>
      <c r="C23" s="21"/>
      <c r="F23" s="42"/>
      <c r="H23" s="42"/>
      <c r="J23" s="42"/>
      <c r="K23" s="2"/>
      <c r="M23" s="23"/>
      <c r="N23" s="2"/>
      <c r="Q23" s="9"/>
      <c r="R23" s="29"/>
      <c r="T23" s="23"/>
      <c r="U23" s="2"/>
      <c r="X23" s="9"/>
      <c r="Y23" s="29"/>
    </row>
    <row r="24" spans="1:28" ht="17" customHeight="1" x14ac:dyDescent="0.2">
      <c r="A24" s="6" t="s">
        <v>16</v>
      </c>
      <c r="E24" s="41"/>
      <c r="K24" s="2"/>
      <c r="M24" s="23"/>
      <c r="N24" s="2"/>
      <c r="Q24" s="9"/>
      <c r="R24" s="29"/>
      <c r="T24" s="23"/>
      <c r="U24" s="2"/>
      <c r="X24" s="9"/>
      <c r="Y24" s="29"/>
    </row>
    <row r="25" spans="1:28" ht="17" customHeight="1" x14ac:dyDescent="0.2">
      <c r="C25" s="6"/>
      <c r="H25" s="42"/>
      <c r="J25" s="42"/>
      <c r="K25" s="2"/>
      <c r="M25" s="43"/>
      <c r="N25" s="2"/>
      <c r="O25" s="2"/>
      <c r="P25" s="8"/>
      <c r="Q25" s="44"/>
      <c r="R25" s="45"/>
      <c r="T25" s="43"/>
      <c r="U25" s="2"/>
      <c r="V25" s="2"/>
      <c r="W25" s="8"/>
      <c r="X25" s="44"/>
      <c r="Y25" s="45"/>
    </row>
    <row r="26" spans="1:28" ht="17" customHeight="1" x14ac:dyDescent="0.15">
      <c r="A26" s="46" t="s">
        <v>3</v>
      </c>
      <c r="B26" s="11" t="s">
        <v>4</v>
      </c>
      <c r="C26" s="11" t="s">
        <v>5</v>
      </c>
      <c r="D26" s="7"/>
      <c r="E26" s="47" t="s">
        <v>17</v>
      </c>
      <c r="F26" s="47" t="s">
        <v>18</v>
      </c>
      <c r="G26" s="47" t="s">
        <v>19</v>
      </c>
      <c r="H26" s="48" t="s">
        <v>81</v>
      </c>
      <c r="I26" s="7"/>
      <c r="K26" s="47"/>
      <c r="L26" s="47"/>
      <c r="M26" s="47"/>
      <c r="N26" s="48"/>
      <c r="O26" s="2"/>
      <c r="P26" s="8"/>
      <c r="Q26" s="44"/>
      <c r="R26" s="45"/>
      <c r="T26" s="43"/>
      <c r="U26" s="2"/>
      <c r="V26" s="2"/>
      <c r="W26" s="8"/>
      <c r="X26" s="44"/>
      <c r="Y26" s="45"/>
    </row>
    <row r="27" spans="1:28" ht="17" customHeight="1" x14ac:dyDescent="0.15">
      <c r="A27" s="17" t="s">
        <v>96</v>
      </c>
      <c r="B27" s="86">
        <f>C27/12</f>
        <v>598.65638344172044</v>
      </c>
      <c r="C27" s="86">
        <f>E27</f>
        <v>7183.8766013006452</v>
      </c>
      <c r="D27" s="51"/>
      <c r="E27" s="49">
        <f>IF(D56&lt;F27,(5765+6833),IF(D56&lt;G27,(5765+6833-(D56-F27)*0.135),(5765+6833-(G27-F27)*0.135-(D56-G27)*0.057)))</f>
        <v>7183.8766013006452</v>
      </c>
      <c r="F27" s="50">
        <v>32028</v>
      </c>
      <c r="G27" s="50">
        <v>69395</v>
      </c>
      <c r="H27" s="54">
        <f>(5708+6765-(G27-F27)*0.135)/0.057+G27</f>
        <v>199718.77192982455</v>
      </c>
      <c r="J27" s="53"/>
      <c r="K27" s="102"/>
      <c r="L27" s="103"/>
      <c r="M27" s="30"/>
      <c r="N27" s="31"/>
      <c r="Q27" s="9"/>
      <c r="R27" s="29"/>
      <c r="T27" s="23"/>
      <c r="U27" s="2"/>
      <c r="X27" s="9"/>
      <c r="Y27" s="29"/>
    </row>
    <row r="28" spans="1:28" ht="17" customHeight="1" x14ac:dyDescent="0.15">
      <c r="A28" s="17" t="s">
        <v>99</v>
      </c>
      <c r="B28" s="86">
        <f>C28/12</f>
        <v>115</v>
      </c>
      <c r="C28" s="86">
        <f>MAX(0,E28)</f>
        <v>1380</v>
      </c>
      <c r="D28" s="19"/>
      <c r="E28" s="41">
        <f>IF(D56&lt;F28,(1600+1000),IF(D56&lt;G28,(MAX(700,1600-(D56-F28)*0.04)+MAX(680,1000-(D56-F28)*0.04)),MAX(0,700-(D56-G28)*0.04)+MAX(0,680-(D56-G28)*0.04)))</f>
        <v>1380</v>
      </c>
      <c r="F28" s="50">
        <v>25275</v>
      </c>
      <c r="G28" s="50">
        <v>80880</v>
      </c>
      <c r="H28" s="52"/>
      <c r="I28" s="21"/>
      <c r="K28" s="102"/>
      <c r="L28" s="102"/>
      <c r="M28" s="31"/>
      <c r="N28" s="31"/>
      <c r="Q28" s="9"/>
      <c r="R28" s="29"/>
      <c r="T28" s="23"/>
      <c r="U28" s="2"/>
      <c r="X28" s="9"/>
      <c r="Y28" s="29"/>
    </row>
    <row r="29" spans="1:28" ht="17" customHeight="1" x14ac:dyDescent="0.15">
      <c r="A29" s="17" t="s">
        <v>124</v>
      </c>
      <c r="B29" s="86">
        <f>(C29)/12</f>
        <v>0</v>
      </c>
      <c r="C29" s="86">
        <f>MAX(0,E29)/2</f>
        <v>0</v>
      </c>
      <c r="D29" s="19"/>
      <c r="E29" s="31">
        <f>IF(D56&lt;F29,2*(299+157),2*(299+157)-(D56-F29)*0.05)</f>
        <v>-937.34157780645182</v>
      </c>
      <c r="F29" s="54">
        <v>38892</v>
      </c>
      <c r="G29" s="54"/>
      <c r="H29" s="54">
        <f>((299+157)*2)/0.05+F29</f>
        <v>57132</v>
      </c>
      <c r="I29" s="52"/>
      <c r="J29" s="21"/>
      <c r="K29" s="21"/>
      <c r="L29" s="102"/>
      <c r="M29" s="102"/>
      <c r="N29" s="31"/>
      <c r="R29" s="9"/>
      <c r="S29" s="29"/>
      <c r="U29" s="23"/>
      <c r="V29" s="2"/>
      <c r="Y29" s="9"/>
      <c r="Z29" s="29"/>
    </row>
    <row r="30" spans="1:28" ht="17" customHeight="1" x14ac:dyDescent="0.15">
      <c r="A30" s="17" t="s">
        <v>125</v>
      </c>
      <c r="B30" s="86">
        <f>(C30)/12</f>
        <v>0</v>
      </c>
      <c r="C30" s="86">
        <f>MAX(0,E30)/2</f>
        <v>0</v>
      </c>
      <c r="D30" s="19"/>
      <c r="E30" s="31">
        <f>IF(D56&lt;F30,2*(306+161),2*(306+161)-(D56-F30)*0.05)</f>
        <v>-868.64157780645201</v>
      </c>
      <c r="F30" s="54">
        <v>39826</v>
      </c>
      <c r="G30" s="54"/>
      <c r="H30" s="54">
        <f>((306+161)*2)/0.05+F30</f>
        <v>58506</v>
      </c>
      <c r="I30" s="52"/>
      <c r="J30" s="21"/>
      <c r="K30" s="21"/>
      <c r="L30" s="102"/>
      <c r="M30" s="102"/>
      <c r="N30" s="31"/>
      <c r="R30" s="9"/>
      <c r="S30" s="29"/>
      <c r="U30" s="23"/>
      <c r="V30" s="2"/>
      <c r="Y30" s="9"/>
      <c r="Z30" s="29"/>
    </row>
    <row r="31" spans="1:28" ht="17" customHeight="1" x14ac:dyDescent="0.15">
      <c r="A31" s="17" t="s">
        <v>94</v>
      </c>
      <c r="B31" s="86">
        <v>0</v>
      </c>
      <c r="C31" s="86">
        <f>12*B31</f>
        <v>0</v>
      </c>
      <c r="D31" s="31" t="s">
        <v>20</v>
      </c>
      <c r="F31" s="30"/>
      <c r="G31" s="31"/>
      <c r="H31" s="21"/>
      <c r="I31" s="21"/>
      <c r="J31" s="21"/>
      <c r="K31" s="102"/>
      <c r="L31" s="102"/>
      <c r="M31" s="31"/>
      <c r="N31" s="31"/>
      <c r="Q31" s="9"/>
      <c r="R31" s="29"/>
      <c r="T31" s="23"/>
      <c r="U31" s="2"/>
      <c r="X31" s="9"/>
      <c r="Y31" s="29"/>
    </row>
    <row r="32" spans="1:28" ht="17" customHeight="1" x14ac:dyDescent="0.15">
      <c r="A32" s="17" t="s">
        <v>123</v>
      </c>
      <c r="B32" s="86">
        <f>C32/12</f>
        <v>0</v>
      </c>
      <c r="C32" s="86">
        <f>MAX(0,E32)/2</f>
        <v>0</v>
      </c>
      <c r="E32" s="31">
        <f>IF(D56&lt;F32,2*(174+51),2*(174+51)-(D56-F32)*0.02)</f>
        <v>-224.27663112258074</v>
      </c>
      <c r="F32" s="54">
        <v>42165</v>
      </c>
      <c r="H32" s="54">
        <v>64665</v>
      </c>
      <c r="I32" s="21"/>
      <c r="J32" s="21"/>
      <c r="L32" s="102"/>
      <c r="M32" s="68"/>
      <c r="N32" s="23"/>
      <c r="O32" s="2"/>
      <c r="R32" s="9"/>
      <c r="S32" s="29"/>
      <c r="U32" s="23"/>
      <c r="V32" s="2"/>
      <c r="Y32" s="9"/>
      <c r="Z32" s="29"/>
    </row>
    <row r="33" spans="1:26" ht="17" customHeight="1" x14ac:dyDescent="0.15">
      <c r="A33" s="17" t="s">
        <v>126</v>
      </c>
      <c r="B33" s="86">
        <f t="shared" ref="B33:B34" si="0">C33/12</f>
        <v>0</v>
      </c>
      <c r="C33" s="86">
        <f>MAX(0,E33)/4</f>
        <v>0</v>
      </c>
      <c r="E33" s="31">
        <f>IF(D56&lt;F33,2*(193.5+56.5),2*(193.5+56.5)-(D56-F33)*0.02)</f>
        <v>-156.55663112258071</v>
      </c>
      <c r="F33" s="54">
        <v>43051</v>
      </c>
      <c r="H33" s="54">
        <v>68051</v>
      </c>
      <c r="I33" s="21"/>
      <c r="J33" s="21"/>
      <c r="L33" s="102"/>
      <c r="M33" s="68"/>
      <c r="N33" s="23"/>
      <c r="O33" s="2"/>
      <c r="R33" s="9"/>
      <c r="S33" s="29"/>
      <c r="U33" s="23"/>
      <c r="V33" s="2"/>
      <c r="Y33" s="9"/>
      <c r="Z33" s="29"/>
    </row>
    <row r="34" spans="1:26" ht="17" customHeight="1" x14ac:dyDescent="0.15">
      <c r="A34" s="17" t="s">
        <v>127</v>
      </c>
      <c r="B34" s="86">
        <f t="shared" si="0"/>
        <v>0</v>
      </c>
      <c r="C34" s="86">
        <f>MAX(0,E34)</f>
        <v>0</v>
      </c>
      <c r="E34" s="31">
        <f>IF(D56&lt;F34,2*(212.38+55.13),2*(212.38+55.13)-(D56-F34)*0.02)</f>
        <v>-121.53663112258073</v>
      </c>
      <c r="F34" s="54">
        <v>43051</v>
      </c>
      <c r="H34" s="54">
        <v>150051</v>
      </c>
      <c r="I34" s="21"/>
      <c r="J34" s="21"/>
      <c r="L34" s="102"/>
      <c r="M34" s="68"/>
      <c r="N34" s="23"/>
      <c r="O34" s="2"/>
      <c r="R34" s="9"/>
      <c r="S34" s="29"/>
      <c r="U34" s="23"/>
      <c r="V34" s="2"/>
      <c r="Y34" s="9"/>
      <c r="Z34" s="29"/>
    </row>
    <row r="35" spans="1:26" ht="17" customHeight="1" x14ac:dyDescent="0.15">
      <c r="A35" s="17" t="s">
        <v>84</v>
      </c>
      <c r="B35" s="86">
        <f>C35/12</f>
        <v>515.61089638709677</v>
      </c>
      <c r="C35" s="86">
        <f>MIN('Family expenses'!B45,J45*12)+MIN('Family expenses'!B46,J46*10)+MIN('Family expenses'!B47,6/20*J47)+MIN('Family expenses'!B48,15/20*J47)+MIN('Family expenses'!B49,J47*1.5)</f>
        <v>6187.3307566451613</v>
      </c>
      <c r="D35" s="31"/>
      <c r="E35" s="41"/>
      <c r="F35" s="31"/>
      <c r="H35" s="21"/>
      <c r="J35" s="21"/>
      <c r="K35" s="68"/>
      <c r="L35" s="68"/>
      <c r="M35" s="23"/>
      <c r="Q35" s="9"/>
      <c r="T35" s="23"/>
      <c r="X35" s="9"/>
    </row>
    <row r="36" spans="1:26" ht="17" customHeight="1" x14ac:dyDescent="0.15">
      <c r="A36" s="17" t="s">
        <v>122</v>
      </c>
      <c r="B36" s="86">
        <f>C36/12</f>
        <v>9.1666666666666661</v>
      </c>
      <c r="C36" s="86">
        <v>110</v>
      </c>
      <c r="D36" s="31"/>
      <c r="E36" s="41"/>
      <c r="F36" s="31"/>
      <c r="H36" s="21"/>
      <c r="J36" s="21"/>
      <c r="K36" s="68"/>
      <c r="L36" s="68"/>
      <c r="M36" s="23"/>
      <c r="Q36" s="9"/>
      <c r="T36" s="23"/>
      <c r="X36" s="9"/>
    </row>
    <row r="37" spans="1:26" ht="17" customHeight="1" x14ac:dyDescent="0.15">
      <c r="A37" s="17" t="s">
        <v>15</v>
      </c>
      <c r="B37" s="86">
        <f>C37/12</f>
        <v>1238.433946495484</v>
      </c>
      <c r="C37" s="86">
        <f>SUM(C27:C36)</f>
        <v>14861.207357945808</v>
      </c>
      <c r="D37" s="31" t="s">
        <v>76</v>
      </c>
      <c r="H37" s="21"/>
      <c r="I37" s="21"/>
      <c r="K37" s="68"/>
      <c r="L37" s="68"/>
      <c r="P37" s="23"/>
      <c r="Q37" s="8"/>
      <c r="R37" s="8"/>
      <c r="W37" s="23"/>
      <c r="X37" s="8"/>
      <c r="Y37" s="8"/>
    </row>
    <row r="38" spans="1:26" ht="17" customHeight="1" x14ac:dyDescent="0.15">
      <c r="A38" s="67"/>
      <c r="B38" s="95"/>
      <c r="C38" s="95"/>
      <c r="D38" s="31"/>
      <c r="H38" s="21"/>
      <c r="I38" s="21"/>
      <c r="P38" s="23"/>
      <c r="Q38" s="8"/>
      <c r="R38" s="8"/>
      <c r="W38" s="23"/>
      <c r="X38" s="8"/>
      <c r="Y38" s="8"/>
    </row>
    <row r="39" spans="1:26" ht="17" customHeight="1" x14ac:dyDescent="0.15">
      <c r="A39" s="67"/>
      <c r="B39" s="95"/>
      <c r="C39" s="95"/>
      <c r="D39" s="31"/>
      <c r="H39" s="21"/>
      <c r="I39" s="21"/>
      <c r="P39" s="23"/>
      <c r="Q39" s="8"/>
      <c r="R39" s="8"/>
      <c r="W39" s="23"/>
      <c r="X39" s="8"/>
      <c r="Y39" s="8"/>
    </row>
    <row r="40" spans="1:26" ht="17" customHeight="1" x14ac:dyDescent="0.15">
      <c r="B40" s="21"/>
      <c r="C40" s="21"/>
      <c r="E40" s="42"/>
      <c r="H40" s="21"/>
      <c r="I40" s="21"/>
      <c r="L40" s="7"/>
      <c r="M40" s="8"/>
      <c r="N40" s="8"/>
      <c r="O40" s="8"/>
    </row>
    <row r="41" spans="1:26" ht="17" customHeight="1" x14ac:dyDescent="0.2">
      <c r="A41" s="6" t="s">
        <v>21</v>
      </c>
      <c r="K41" s="111"/>
      <c r="L41" s="21"/>
      <c r="M41" s="21"/>
      <c r="N41" s="21"/>
    </row>
    <row r="42" spans="1:26" ht="17" customHeight="1" x14ac:dyDescent="0.2">
      <c r="A42" s="3"/>
      <c r="K42" s="8"/>
      <c r="L42" s="55"/>
      <c r="O42" s="7"/>
      <c r="P42" s="8"/>
      <c r="Q42" s="8"/>
      <c r="R42" s="8"/>
      <c r="S42" s="55"/>
    </row>
    <row r="43" spans="1:26" ht="17" customHeight="1" x14ac:dyDescent="0.2">
      <c r="A43" s="56"/>
      <c r="B43" s="11"/>
      <c r="C43" s="11" t="s">
        <v>5</v>
      </c>
      <c r="D43" s="7"/>
      <c r="E43" s="113" t="s">
        <v>84</v>
      </c>
      <c r="F43" s="114"/>
      <c r="G43" s="114"/>
      <c r="H43" s="115"/>
      <c r="K43" s="96"/>
    </row>
    <row r="44" spans="1:26" ht="17" customHeight="1" x14ac:dyDescent="0.15">
      <c r="A44" s="17" t="s">
        <v>22</v>
      </c>
      <c r="B44" s="86"/>
      <c r="C44" s="86">
        <f>C37+D62</f>
        <v>88982.066227995339</v>
      </c>
      <c r="D44" s="68"/>
      <c r="E44" s="112" t="s">
        <v>23</v>
      </c>
      <c r="F44" s="112" t="s">
        <v>24</v>
      </c>
      <c r="G44" s="112" t="s">
        <v>74</v>
      </c>
      <c r="H44" s="112" t="s">
        <v>75</v>
      </c>
      <c r="I44" s="12" t="s">
        <v>85</v>
      </c>
      <c r="J44" s="57" t="s">
        <v>25</v>
      </c>
    </row>
    <row r="45" spans="1:26" ht="17" customHeight="1" x14ac:dyDescent="0.15">
      <c r="A45" s="17" t="s">
        <v>26</v>
      </c>
      <c r="B45" s="86"/>
      <c r="C45" s="86">
        <f>C21</f>
        <v>90884.581426179255</v>
      </c>
      <c r="D45" s="68"/>
      <c r="E45" s="12">
        <v>4</v>
      </c>
      <c r="F45" s="12">
        <v>550</v>
      </c>
      <c r="G45" s="107">
        <v>45000</v>
      </c>
      <c r="H45" s="107">
        <v>60000</v>
      </c>
      <c r="I45" s="107">
        <v>80000</v>
      </c>
      <c r="J45" s="57">
        <f>IF((D54-4000)&lt;G45,F45,IF((D54-4000)&lt;H45,F45*(1-(D54-4000-G45)*0.272/15000),IF((D54-4000)&lt;I45,0.728*F45,IF((D54-4000)&lt;111000,0.728*F45*(1-(D54-4000-I45)/31000),0))))</f>
        <v>353.24062967741935</v>
      </c>
    </row>
    <row r="46" spans="1:26" ht="17" customHeight="1" x14ac:dyDescent="0.15">
      <c r="A46" s="17" t="s">
        <v>27</v>
      </c>
      <c r="B46" s="86"/>
      <c r="C46" s="86">
        <f>C44-C45</f>
        <v>-1902.5151981839153</v>
      </c>
      <c r="D46" s="68"/>
      <c r="E46" s="12" t="s">
        <v>82</v>
      </c>
      <c r="F46" s="12">
        <v>210</v>
      </c>
      <c r="G46" s="107">
        <v>45000</v>
      </c>
      <c r="H46" s="107">
        <v>60000</v>
      </c>
      <c r="I46" s="107">
        <v>80000</v>
      </c>
      <c r="J46" s="57">
        <f>IF((D54-4000)&lt;G46,F46,IF((D54-4000)&lt;H46,F46*(1-(D54-4000-G46)*0.272/15000),IF((D54-4000)&lt;I46,0.728*F46,IF((D54-4000)&lt;111000,0.728*F46*(1-(D54-4000-I46)/31000),0))))</f>
        <v>134.87369496774193</v>
      </c>
    </row>
    <row r="47" spans="1:26" ht="17" customHeight="1" x14ac:dyDescent="0.15">
      <c r="B47" s="68"/>
      <c r="C47" s="68"/>
      <c r="D47" s="68"/>
      <c r="E47" s="12" t="s">
        <v>83</v>
      </c>
      <c r="F47" s="12">
        <v>415</v>
      </c>
      <c r="G47" s="107">
        <v>45000</v>
      </c>
      <c r="H47" s="107">
        <v>60000</v>
      </c>
      <c r="I47" s="107">
        <v>80000</v>
      </c>
      <c r="J47" s="57">
        <f>IF((D54-4000)&lt;G47,F47,IF((D54-4000)&lt;H47,F47*(1-(D54-4000-G47)*0.272/15000),IF((D54-4000)&lt;I47,0.728*F47,IF((D54-4000)&lt;111000,0.728*F47*(1-(D54-4000-I47)/31000),0))))</f>
        <v>266.53611148387097</v>
      </c>
    </row>
    <row r="48" spans="1:26" ht="17" customHeight="1" x14ac:dyDescent="0.15">
      <c r="B48" s="68"/>
      <c r="C48" s="68"/>
      <c r="D48" s="68"/>
      <c r="E48" s="31" t="s">
        <v>93</v>
      </c>
      <c r="H48" s="21"/>
      <c r="I48" s="21"/>
    </row>
    <row r="49" spans="1:11" ht="17" customHeight="1" x14ac:dyDescent="0.2">
      <c r="A49" s="58" t="s">
        <v>90</v>
      </c>
      <c r="B49" s="68"/>
      <c r="C49" s="68"/>
      <c r="D49" s="68"/>
    </row>
    <row r="50" spans="1:11" ht="17" customHeight="1" x14ac:dyDescent="0.15">
      <c r="B50" s="89"/>
      <c r="C50" s="68"/>
      <c r="D50" s="68"/>
    </row>
    <row r="51" spans="1:11" s="23" customFormat="1" ht="17" customHeight="1" x14ac:dyDescent="0.15">
      <c r="A51" s="11"/>
      <c r="B51" s="90" t="s">
        <v>28</v>
      </c>
      <c r="C51" s="90" t="s">
        <v>29</v>
      </c>
      <c r="D51" s="90" t="s">
        <v>15</v>
      </c>
      <c r="F51" s="7"/>
      <c r="G51" s="59"/>
      <c r="H51" s="59"/>
      <c r="I51" s="59"/>
    </row>
    <row r="52" spans="1:11" s="2" customFormat="1" ht="17" customHeight="1" x14ac:dyDescent="0.15">
      <c r="A52" s="17" t="s">
        <v>30</v>
      </c>
      <c r="B52" s="86">
        <v>35</v>
      </c>
      <c r="C52" s="91">
        <v>35</v>
      </c>
      <c r="D52" s="86">
        <f>B52+C52</f>
        <v>70</v>
      </c>
      <c r="F52" s="116" t="s">
        <v>31</v>
      </c>
      <c r="G52" s="117"/>
      <c r="H52" s="117"/>
      <c r="I52" s="118"/>
    </row>
    <row r="53" spans="1:11" s="2" customFormat="1" ht="17" customHeight="1" x14ac:dyDescent="0.15">
      <c r="A53" s="17" t="s">
        <v>32</v>
      </c>
      <c r="B53" s="87">
        <v>24.08</v>
      </c>
      <c r="C53" s="91">
        <f>B53</f>
        <v>24.08</v>
      </c>
      <c r="D53" s="86"/>
      <c r="F53" s="147" t="s">
        <v>28</v>
      </c>
      <c r="G53" s="148"/>
      <c r="H53" s="149" t="s">
        <v>29</v>
      </c>
      <c r="I53" s="150"/>
      <c r="J53" s="60"/>
    </row>
    <row r="54" spans="1:11" ht="17" customHeight="1" x14ac:dyDescent="0.15">
      <c r="A54" s="17" t="s">
        <v>33</v>
      </c>
      <c r="B54" s="86">
        <f>B53*B52*52</f>
        <v>43825.599999999999</v>
      </c>
      <c r="C54" s="86">
        <f>C53*C52*52</f>
        <v>43825.599999999999</v>
      </c>
      <c r="D54" s="86">
        <f t="shared" ref="D54:D61" si="1">B54+C54</f>
        <v>87651.199999999997</v>
      </c>
      <c r="F54" s="61" t="s">
        <v>35</v>
      </c>
      <c r="G54" s="62">
        <f>MIN((MIN('Family expenses'!B45-MIN('Family expenses'!B45,J45*12),8000)+MIN(MIN('Family expenses'!B46-MIN('Family expenses'!B46,J46*10))+MIN('Family expenses'!B47-MIN('Family expenses'!B47,6/20*J47))+MIN('Family expenses'!B48-MIN('Family expenses'!B48,15/20*J47))+MIN('Family expenses'!B49-MIN('Family expenses'!B49,J47*1.5)),5000)))</f>
        <v>11369.112443870967</v>
      </c>
      <c r="H54" s="61" t="s">
        <v>102</v>
      </c>
      <c r="I54" s="63">
        <f>MIN(250,'Family expenses'!B56)</f>
        <v>250</v>
      </c>
      <c r="J54" s="55"/>
      <c r="K54" s="110"/>
    </row>
    <row r="55" spans="1:11" ht="17" customHeight="1" x14ac:dyDescent="0.15">
      <c r="A55" s="17" t="s">
        <v>34</v>
      </c>
      <c r="B55" s="86">
        <f>-G54-(B54-3500)*0.5%</f>
        <v>-11570.740443870967</v>
      </c>
      <c r="C55" s="86">
        <f>-(B54-3500)*0.5%</f>
        <v>-201.62799999999999</v>
      </c>
      <c r="D55" s="86"/>
      <c r="F55" s="61" t="s">
        <v>37</v>
      </c>
      <c r="G55" s="63">
        <f>(C18-B56*0.03)</f>
        <v>1732.3542133161291</v>
      </c>
      <c r="H55" s="61" t="s">
        <v>103</v>
      </c>
      <c r="I55" s="63">
        <f>'Family expenses'!B56*2-I54</f>
        <v>489.5</v>
      </c>
      <c r="J55" s="21"/>
    </row>
    <row r="56" spans="1:11" ht="17" customHeight="1" x14ac:dyDescent="0.15">
      <c r="A56" s="17" t="s">
        <v>36</v>
      </c>
      <c r="B56" s="86">
        <f>B54+B55</f>
        <v>32254.859556129031</v>
      </c>
      <c r="C56" s="86">
        <f>C54+C55</f>
        <v>43623.972000000002</v>
      </c>
      <c r="D56" s="86">
        <f>B56+C56</f>
        <v>75878.831556129036</v>
      </c>
      <c r="F56" s="61" t="s">
        <v>39</v>
      </c>
      <c r="G56" s="62">
        <f>IF(D56&lt;54146,IF((0.25*G55- 0.05*(D56-28164))&gt;0,(0.25*G55 - 0.05*(D56-28164)),0),0)</f>
        <v>0</v>
      </c>
      <c r="H56" s="61" t="s">
        <v>98</v>
      </c>
      <c r="I56" s="62">
        <f>IF(D56&lt;42197, (MIN(0.26*(D54-3000),2403)-0.12*(D56-26177)),0)</f>
        <v>0</v>
      </c>
      <c r="J56" s="21"/>
    </row>
    <row r="57" spans="1:11" ht="17" customHeight="1" x14ac:dyDescent="0.15">
      <c r="A57" s="17" t="s">
        <v>38</v>
      </c>
      <c r="B57" s="86">
        <f>B54*0.0158</f>
        <v>692.44448</v>
      </c>
      <c r="C57" s="86">
        <f>C54*0.0158</f>
        <v>692.44448</v>
      </c>
      <c r="D57" s="86">
        <f>B57+C57</f>
        <v>1384.88896</v>
      </c>
      <c r="F57" s="23"/>
      <c r="G57" s="64"/>
      <c r="J57" s="21"/>
    </row>
    <row r="58" spans="1:11" ht="17" customHeight="1" x14ac:dyDescent="0.15">
      <c r="A58" s="17" t="s">
        <v>40</v>
      </c>
      <c r="B58" s="86">
        <f>(B54-3500)*0.0545</f>
        <v>2197.7451999999998</v>
      </c>
      <c r="C58" s="86">
        <f>(B54-3500)*0.0545</f>
        <v>2197.7451999999998</v>
      </c>
      <c r="D58" s="86">
        <f t="shared" si="1"/>
        <v>4395.4903999999997</v>
      </c>
      <c r="E58" s="19"/>
      <c r="F58" s="93"/>
      <c r="H58" s="93"/>
      <c r="J58" s="21"/>
    </row>
    <row r="59" spans="1:11" ht="17" customHeight="1" x14ac:dyDescent="0.15">
      <c r="A59" s="17" t="s">
        <v>41</v>
      </c>
      <c r="B59" s="86">
        <f>IF(B56&lt;49020,MAX(0,(B56*0.15-(13808+B57+(B54-3500)*0.0495+1257+G55)*0.15)),(B56-49020)*0.205+7353-(13808+B57+(B54-3500)*0.0495+1257+G55)*0.15)</f>
        <v>1915.3415494219357</v>
      </c>
      <c r="C59" s="88">
        <f>IF(C56&lt;49020,MAX(0,(C56*0.15-(13808+C57+(C54-3500)*0.0495+1257+I55)*0.15)),(C56-49020)*0.205+7353-(13808+C57+(C54-3500)*0.0495+1257+I55)*0.15)</f>
        <v>3807.1365480000004</v>
      </c>
      <c r="D59" s="86">
        <f t="shared" si="1"/>
        <v>5722.4780974219357</v>
      </c>
      <c r="E59" s="19"/>
      <c r="F59" s="93"/>
      <c r="G59" s="41"/>
      <c r="H59" s="41"/>
      <c r="I59" s="93"/>
      <c r="J59" s="21"/>
    </row>
    <row r="60" spans="1:11" ht="17" customHeight="1" x14ac:dyDescent="0.15">
      <c r="A60" s="17" t="s">
        <v>42</v>
      </c>
      <c r="B60" s="86">
        <f>-G56</f>
        <v>0</v>
      </c>
      <c r="C60" s="86">
        <f>-I56-G56-I54</f>
        <v>-250</v>
      </c>
      <c r="D60" s="86">
        <f>-(B60+C60)</f>
        <v>250</v>
      </c>
    </row>
    <row r="61" spans="1:11" ht="17" customHeight="1" x14ac:dyDescent="0.15">
      <c r="A61" s="17" t="s">
        <v>43</v>
      </c>
      <c r="B61" s="86">
        <f>IF(B56&lt;42184,MAX(0,(B56*0.0506-(11070+B57+(B54-3500)*0.0495+G55)*0.0506-MAX(0,481-(B56-21418)*0.0356))),(B56-42184)*0.077+2134.51-(11070+B57+(B54-3500)*0.0495+G55)*0.0506-MAX(0,481-(B56-21418)*0.0356))</f>
        <v>753.04774953652645</v>
      </c>
      <c r="C61" s="88">
        <f>IF(C56&lt;42184,MAX(0,(C56*0.0506-(11070+C57+(C54-3500)*0.0495+I55)*0.0506-MAX(0,481-(C56-21418)*0.0356))),(C56-42184)*0.077+2134.51-(11070+C57+(C54-3500)*0.0495+I55)*0.0506-MAX(0,481-(C56-21418)*0.0356))</f>
        <v>1524.4359229920003</v>
      </c>
      <c r="D61" s="86">
        <f t="shared" si="1"/>
        <v>2277.4836725285268</v>
      </c>
      <c r="E61" s="36"/>
      <c r="F61" s="42"/>
    </row>
    <row r="62" spans="1:11" ht="17" customHeight="1" x14ac:dyDescent="0.15">
      <c r="A62" s="17" t="s">
        <v>44</v>
      </c>
      <c r="B62" s="86">
        <f>B54-SUM(B57:B61)</f>
        <v>38267.021021041539</v>
      </c>
      <c r="C62" s="86">
        <f>C54-SUM(C57:C61)</f>
        <v>35853.837849007999</v>
      </c>
      <c r="D62" s="86">
        <f>B62+C62</f>
        <v>74120.858870049531</v>
      </c>
      <c r="E62" s="36"/>
    </row>
    <row r="63" spans="1:11" ht="17" customHeight="1" x14ac:dyDescent="0.15">
      <c r="A63" s="17" t="s">
        <v>45</v>
      </c>
      <c r="B63" s="86">
        <f>B62/12</f>
        <v>3188.9184184201281</v>
      </c>
      <c r="C63" s="86">
        <f>C62/12</f>
        <v>2987.8198207506666</v>
      </c>
      <c r="D63" s="86">
        <f>B63+C63</f>
        <v>6176.7382391707943</v>
      </c>
      <c r="E63" s="21"/>
    </row>
    <row r="64" spans="1:11" ht="17" customHeight="1" x14ac:dyDescent="0.15">
      <c r="A64" s="66"/>
      <c r="B64" s="66"/>
      <c r="C64" s="66"/>
      <c r="D64" s="66"/>
      <c r="E64" s="65"/>
    </row>
    <row r="65" spans="1:6" ht="17" customHeight="1" x14ac:dyDescent="0.15">
      <c r="B65" s="38"/>
      <c r="C65" s="21"/>
      <c r="D65" s="21"/>
    </row>
    <row r="66" spans="1:6" ht="17" customHeight="1" x14ac:dyDescent="0.2">
      <c r="A66" s="6" t="s">
        <v>91</v>
      </c>
      <c r="B66" s="6"/>
      <c r="C66" s="6"/>
      <c r="D66" s="6"/>
    </row>
    <row r="67" spans="1:6" s="6" customFormat="1" ht="17" customHeight="1" x14ac:dyDescent="0.2">
      <c r="A67"/>
      <c r="B67"/>
      <c r="C67"/>
      <c r="D67"/>
    </row>
    <row r="68" spans="1:6" ht="17" customHeight="1" x14ac:dyDescent="0.15">
      <c r="A68" s="67" t="s">
        <v>46</v>
      </c>
      <c r="B68" s="67"/>
      <c r="C68" s="67"/>
      <c r="D68" s="66">
        <f xml:space="preserve"> D54</f>
        <v>87651.199999999997</v>
      </c>
    </row>
    <row r="69" spans="1:6" ht="17" customHeight="1" x14ac:dyDescent="0.15">
      <c r="A69" s="67" t="s">
        <v>47</v>
      </c>
      <c r="B69" s="67"/>
      <c r="C69" s="67"/>
      <c r="D69" s="66">
        <f>SUM(B57:B61)+SUM(C57:C61)</f>
        <v>13530.341129950462</v>
      </c>
      <c r="E69" s="67"/>
    </row>
    <row r="70" spans="1:6" ht="17" customHeight="1" x14ac:dyDescent="0.15">
      <c r="A70" s="67" t="s">
        <v>48</v>
      </c>
      <c r="B70" s="67"/>
      <c r="C70" s="67"/>
      <c r="D70" s="66">
        <f>D68-D69</f>
        <v>74120.858870049531</v>
      </c>
      <c r="E70" s="67"/>
    </row>
    <row r="71" spans="1:6" ht="17" customHeight="1" x14ac:dyDescent="0.15">
      <c r="A71" s="67" t="s">
        <v>106</v>
      </c>
      <c r="B71" s="67"/>
      <c r="C71" s="67"/>
      <c r="D71" s="66">
        <f>C37</f>
        <v>14861.207357945808</v>
      </c>
      <c r="E71" s="67"/>
    </row>
    <row r="72" spans="1:6" ht="17" customHeight="1" x14ac:dyDescent="0.15">
      <c r="A72" s="67" t="s">
        <v>49</v>
      </c>
      <c r="B72" s="67"/>
      <c r="C72" s="67"/>
      <c r="D72" s="66">
        <f>D70+D71</f>
        <v>88982.066227995339</v>
      </c>
      <c r="E72" s="67"/>
    </row>
    <row r="73" spans="1:6" ht="17" customHeight="1" x14ac:dyDescent="0.15">
      <c r="A73" s="67" t="s">
        <v>50</v>
      </c>
      <c r="B73" s="67"/>
      <c r="C73" s="67"/>
      <c r="D73" s="66">
        <f>C21</f>
        <v>90884.581426179255</v>
      </c>
      <c r="E73" s="67"/>
    </row>
    <row r="74" spans="1:6" ht="17" customHeight="1" x14ac:dyDescent="0.15">
      <c r="A74" s="67" t="s">
        <v>51</v>
      </c>
      <c r="B74" s="67"/>
      <c r="C74" s="67"/>
      <c r="D74" s="66">
        <f>D72-D73</f>
        <v>-1902.5151981839153</v>
      </c>
      <c r="E74" s="67"/>
    </row>
    <row r="75" spans="1:6" ht="17" customHeight="1" x14ac:dyDescent="0.15">
      <c r="A75" s="67"/>
      <c r="B75" s="67"/>
      <c r="C75" s="67"/>
      <c r="D75" s="67"/>
      <c r="E75" s="67"/>
    </row>
    <row r="76" spans="1:6" ht="17" customHeight="1" x14ac:dyDescent="0.2">
      <c r="C76" s="6"/>
      <c r="E76" s="67"/>
    </row>
    <row r="77" spans="1:6" ht="17" customHeight="1" x14ac:dyDescent="0.2">
      <c r="B77" s="21"/>
      <c r="E77" s="6"/>
    </row>
    <row r="78" spans="1:6" ht="17" customHeight="1" x14ac:dyDescent="0.15">
      <c r="A78" s="8"/>
      <c r="B78" s="23"/>
      <c r="C78" s="23"/>
      <c r="D78" s="23"/>
    </row>
    <row r="79" spans="1:6" ht="17" customHeight="1" x14ac:dyDescent="0.15">
      <c r="B79" s="21"/>
      <c r="C79" s="68"/>
      <c r="D79" s="21"/>
      <c r="E79" s="8"/>
      <c r="F79" s="27"/>
    </row>
    <row r="80" spans="1:6" ht="17" customHeight="1" x14ac:dyDescent="0.2">
      <c r="A80" s="3"/>
      <c r="B80" s="21"/>
      <c r="C80" s="68"/>
      <c r="D80" s="21"/>
      <c r="F80" s="19"/>
    </row>
    <row r="81" spans="2:6" ht="17" customHeight="1" x14ac:dyDescent="0.15">
      <c r="B81" s="21"/>
      <c r="C81" s="69"/>
      <c r="F81" s="7"/>
    </row>
    <row r="82" spans="2:6" ht="17" customHeight="1" x14ac:dyDescent="0.15">
      <c r="B82" s="21"/>
      <c r="C82" s="69"/>
      <c r="F82" s="70"/>
    </row>
    <row r="83" spans="2:6" ht="17" customHeight="1" x14ac:dyDescent="0.15">
      <c r="B83" s="7"/>
      <c r="C83" s="7"/>
      <c r="D83" s="7"/>
      <c r="F83" s="70"/>
    </row>
    <row r="84" spans="2:6" ht="17" customHeight="1" x14ac:dyDescent="0.15">
      <c r="B84" s="7"/>
      <c r="C84" s="7"/>
      <c r="D84" s="7"/>
      <c r="E84" s="7"/>
      <c r="F84" s="70"/>
    </row>
    <row r="85" spans="2:6" ht="17" customHeight="1" x14ac:dyDescent="0.15">
      <c r="B85" s="7"/>
      <c r="C85" s="7"/>
      <c r="D85" s="7"/>
      <c r="E85" s="7"/>
      <c r="F85" s="70"/>
    </row>
    <row r="86" spans="2:6" ht="17" customHeight="1" x14ac:dyDescent="0.15">
      <c r="D86" s="37"/>
      <c r="E86" s="7"/>
    </row>
    <row r="87" spans="2:6" ht="17" customHeight="1" x14ac:dyDescent="0.15">
      <c r="D87" s="37"/>
      <c r="E87" s="37"/>
    </row>
    <row r="88" spans="2:6" ht="17" customHeight="1" x14ac:dyDescent="0.15">
      <c r="D88" s="37"/>
      <c r="E88" s="37"/>
      <c r="F88" s="7"/>
    </row>
    <row r="89" spans="2:6" ht="17" customHeight="1" x14ac:dyDescent="0.15">
      <c r="D89" s="37"/>
      <c r="E89" s="37"/>
      <c r="F89" s="7"/>
    </row>
    <row r="90" spans="2:6" ht="17" customHeight="1" x14ac:dyDescent="0.15">
      <c r="E90" s="37"/>
      <c r="F90" s="7"/>
    </row>
    <row r="91" spans="2:6" ht="17" customHeight="1" x14ac:dyDescent="0.15">
      <c r="F91" s="70"/>
    </row>
    <row r="92" spans="2:6" ht="17" customHeight="1" x14ac:dyDescent="0.15">
      <c r="B92" s="7"/>
      <c r="C92" s="7"/>
      <c r="D92" s="7"/>
      <c r="F92" s="70"/>
    </row>
    <row r="93" spans="2:6" ht="17" customHeight="1" x14ac:dyDescent="0.15">
      <c r="B93" s="7"/>
      <c r="C93" s="7"/>
      <c r="D93" s="7"/>
      <c r="E93" s="7"/>
      <c r="F93" s="70"/>
    </row>
    <row r="94" spans="2:6" ht="17" customHeight="1" x14ac:dyDescent="0.15">
      <c r="B94" s="7"/>
      <c r="C94" s="7"/>
      <c r="D94" s="7"/>
      <c r="E94" s="7"/>
      <c r="F94" s="70"/>
    </row>
    <row r="95" spans="2:6" ht="17" customHeight="1" x14ac:dyDescent="0.15">
      <c r="D95" s="37"/>
      <c r="E95" s="7"/>
    </row>
    <row r="96" spans="2:6" ht="17" customHeight="1" x14ac:dyDescent="0.15">
      <c r="D96" s="37"/>
      <c r="E96" s="37"/>
    </row>
    <row r="97" spans="2:6" ht="17" customHeight="1" x14ac:dyDescent="0.15">
      <c r="D97" s="37"/>
      <c r="E97" s="37"/>
    </row>
    <row r="98" spans="2:6" ht="17" customHeight="1" x14ac:dyDescent="0.15">
      <c r="D98" s="37"/>
      <c r="E98" s="37"/>
    </row>
    <row r="99" spans="2:6" ht="17" customHeight="1" x14ac:dyDescent="0.15">
      <c r="B99" s="21"/>
      <c r="C99" s="68"/>
      <c r="E99" s="37"/>
      <c r="F99" s="7"/>
    </row>
    <row r="100" spans="2:6" ht="17" customHeight="1" x14ac:dyDescent="0.15">
      <c r="B100" s="21"/>
      <c r="C100" s="21"/>
      <c r="D100" s="21"/>
      <c r="F100" s="7"/>
    </row>
    <row r="101" spans="2:6" ht="17" customHeight="1" x14ac:dyDescent="0.15">
      <c r="B101" s="21"/>
      <c r="C101" s="69"/>
      <c r="F101" s="7"/>
    </row>
    <row r="102" spans="2:6" ht="17" customHeight="1" x14ac:dyDescent="0.15">
      <c r="B102" s="21"/>
      <c r="C102" s="69"/>
      <c r="F102" s="70"/>
    </row>
    <row r="103" spans="2:6" ht="17" customHeight="1" x14ac:dyDescent="0.15">
      <c r="B103" s="7"/>
      <c r="C103" s="7"/>
      <c r="D103" s="7"/>
      <c r="F103" s="70"/>
    </row>
    <row r="104" spans="2:6" ht="17" customHeight="1" x14ac:dyDescent="0.15">
      <c r="B104" s="7"/>
      <c r="C104" s="7"/>
      <c r="D104" s="7"/>
      <c r="E104" s="7"/>
      <c r="F104" s="70"/>
    </row>
    <row r="105" spans="2:6" ht="17" customHeight="1" x14ac:dyDescent="0.15">
      <c r="B105" s="7"/>
      <c r="C105" s="7"/>
      <c r="D105" s="7"/>
      <c r="E105" s="7"/>
      <c r="F105" s="70"/>
    </row>
    <row r="106" spans="2:6" ht="17" customHeight="1" x14ac:dyDescent="0.15">
      <c r="D106" s="37"/>
      <c r="E106" s="7"/>
    </row>
    <row r="107" spans="2:6" ht="17" customHeight="1" x14ac:dyDescent="0.15">
      <c r="D107" s="37"/>
      <c r="E107" s="37"/>
    </row>
    <row r="108" spans="2:6" ht="17" customHeight="1" x14ac:dyDescent="0.15">
      <c r="D108" s="37"/>
      <c r="E108" s="37"/>
      <c r="F108" s="7"/>
    </row>
    <row r="109" spans="2:6" ht="17" customHeight="1" x14ac:dyDescent="0.15">
      <c r="D109" s="37"/>
      <c r="E109" s="37"/>
      <c r="F109" s="7"/>
    </row>
    <row r="110" spans="2:6" ht="17" customHeight="1" x14ac:dyDescent="0.15">
      <c r="E110" s="37"/>
      <c r="F110" s="7"/>
    </row>
    <row r="111" spans="2:6" ht="17" customHeight="1" x14ac:dyDescent="0.15">
      <c r="F111" s="70"/>
    </row>
    <row r="112" spans="2:6" ht="17" customHeight="1" x14ac:dyDescent="0.15">
      <c r="B112" s="7"/>
      <c r="C112" s="7"/>
      <c r="D112" s="7"/>
      <c r="F112" s="70"/>
    </row>
    <row r="113" spans="2:6" ht="17" customHeight="1" x14ac:dyDescent="0.15">
      <c r="B113" s="7"/>
      <c r="C113" s="7"/>
      <c r="D113" s="7"/>
      <c r="E113" s="7"/>
      <c r="F113" s="70"/>
    </row>
    <row r="114" spans="2:6" ht="17" customHeight="1" x14ac:dyDescent="0.15">
      <c r="B114" s="7"/>
      <c r="C114" s="7"/>
      <c r="D114" s="7"/>
      <c r="E114" s="7"/>
      <c r="F114" s="70"/>
    </row>
    <row r="115" spans="2:6" ht="17" customHeight="1" x14ac:dyDescent="0.15">
      <c r="D115" s="37"/>
      <c r="E115" s="7"/>
    </row>
    <row r="116" spans="2:6" ht="17" customHeight="1" x14ac:dyDescent="0.15">
      <c r="D116" s="37"/>
      <c r="E116" s="37"/>
    </row>
    <row r="117" spans="2:6" ht="17" customHeight="1" x14ac:dyDescent="0.15">
      <c r="D117" s="37"/>
      <c r="E117" s="37"/>
    </row>
    <row r="118" spans="2:6" ht="17" customHeight="1" x14ac:dyDescent="0.15">
      <c r="D118" s="37"/>
      <c r="E118" s="37"/>
    </row>
    <row r="119" spans="2:6" ht="17" customHeight="1" x14ac:dyDescent="0.15">
      <c r="E119" s="37"/>
    </row>
  </sheetData>
  <customSheetViews>
    <customSheetView guid="{AECF95C1-27BC-F14B-8EDE-44059DAFEC30}" scale="125">
      <selection activeCell="G52" sqref="G52"/>
      <pageMargins left="0.7" right="0.7" top="0.75" bottom="0.75" header="0.3" footer="0.3"/>
      <printOptions gridLines="1"/>
      <pageSetup orientation="portrait" horizontalDpi="4294967292" verticalDpi="4294967292"/>
    </customSheetView>
  </customSheetViews>
  <mergeCells count="2">
    <mergeCell ref="F53:G53"/>
    <mergeCell ref="H53:I53"/>
  </mergeCells>
  <printOptions gridLines="1"/>
  <pageMargins left="0.75" right="0.5" top="0.5" bottom="0.5"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8"/>
  <sheetViews>
    <sheetView tabSelected="1" zoomScale="125" zoomScaleNormal="125" zoomScalePageLayoutView="125" workbookViewId="0">
      <selection activeCell="A4" sqref="A4"/>
    </sheetView>
  </sheetViews>
  <sheetFormatPr baseColWidth="10" defaultColWidth="12.5" defaultRowHeight="13" x14ac:dyDescent="0.15"/>
  <cols>
    <col min="1" max="1" width="40.5" customWidth="1"/>
    <col min="8" max="8" width="14.83203125" customWidth="1"/>
    <col min="11" max="11" width="24.6640625" customWidth="1"/>
  </cols>
  <sheetData>
    <row r="1" spans="1:23" ht="17" customHeight="1" x14ac:dyDescent="0.2">
      <c r="A1" s="1" t="s">
        <v>137</v>
      </c>
      <c r="B1" s="1"/>
      <c r="C1" s="2"/>
      <c r="D1" s="2"/>
      <c r="E1" s="2"/>
      <c r="F1" s="2"/>
      <c r="G1" s="2"/>
      <c r="H1" s="2"/>
      <c r="I1" s="2"/>
    </row>
    <row r="2" spans="1:23" s="3" customFormat="1" ht="17" customHeight="1" x14ac:dyDescent="0.2">
      <c r="B2" s="3" t="s">
        <v>0</v>
      </c>
      <c r="D2" s="4"/>
      <c r="E2" s="5"/>
    </row>
    <row r="3" spans="1:23" s="67" customFormat="1" ht="17" customHeight="1" x14ac:dyDescent="0.15">
      <c r="A3" s="2" t="s">
        <v>52</v>
      </c>
      <c r="D3" s="71"/>
      <c r="E3" s="72"/>
    </row>
    <row r="4" spans="1:23" ht="17" customHeight="1" x14ac:dyDescent="0.2">
      <c r="A4" s="3"/>
      <c r="B4" s="2"/>
      <c r="C4" s="3"/>
      <c r="D4" s="4"/>
      <c r="E4" s="5"/>
      <c r="F4" s="3"/>
      <c r="G4" s="3"/>
      <c r="H4" s="3"/>
      <c r="I4" s="3"/>
      <c r="J4" s="3"/>
    </row>
    <row r="5" spans="1:23" ht="17" customHeight="1" x14ac:dyDescent="0.2">
      <c r="A5" s="3"/>
      <c r="B5" s="2"/>
      <c r="C5" s="3"/>
      <c r="D5" s="4"/>
      <c r="E5" s="5"/>
      <c r="F5" s="3"/>
      <c r="G5" s="3"/>
      <c r="H5" s="3"/>
      <c r="I5" s="3"/>
      <c r="J5" s="3"/>
    </row>
    <row r="6" spans="1:23" ht="17" customHeight="1" x14ac:dyDescent="0.2">
      <c r="A6" s="6" t="s">
        <v>2</v>
      </c>
      <c r="H6" s="42"/>
    </row>
    <row r="7" spans="1:23" ht="17" customHeight="1" x14ac:dyDescent="0.2">
      <c r="C7" s="6"/>
      <c r="H7" s="8"/>
      <c r="I7" s="8"/>
      <c r="J7" s="8"/>
      <c r="K7" s="8"/>
      <c r="L7" s="8"/>
      <c r="N7" s="9"/>
    </row>
    <row r="8" spans="1:23" ht="17" customHeight="1" x14ac:dyDescent="0.15">
      <c r="A8" s="10" t="s">
        <v>3</v>
      </c>
      <c r="B8" s="11" t="s">
        <v>4</v>
      </c>
      <c r="C8" s="11" t="s">
        <v>5</v>
      </c>
      <c r="D8" s="12" t="s">
        <v>6</v>
      </c>
      <c r="F8" s="13"/>
      <c r="G8" s="7"/>
      <c r="K8" s="7"/>
      <c r="L8" s="8"/>
      <c r="M8" s="8"/>
      <c r="N8" s="8"/>
      <c r="O8" s="8"/>
      <c r="P8" s="8"/>
      <c r="R8" s="7"/>
      <c r="S8" s="8"/>
      <c r="T8" s="8"/>
      <c r="U8" s="8"/>
      <c r="V8" s="8"/>
      <c r="W8" s="8"/>
    </row>
    <row r="9" spans="1:23" ht="17" customHeight="1" x14ac:dyDescent="0.15">
      <c r="A9" s="17" t="s">
        <v>7</v>
      </c>
      <c r="B9" s="73"/>
      <c r="C9" s="73"/>
      <c r="D9" s="12" t="s">
        <v>8</v>
      </c>
      <c r="F9" s="19"/>
      <c r="H9" s="21"/>
      <c r="K9" s="23"/>
      <c r="R9" s="23"/>
    </row>
    <row r="10" spans="1:23" ht="17" customHeight="1" x14ac:dyDescent="0.15">
      <c r="A10" s="17" t="s">
        <v>9</v>
      </c>
      <c r="B10" s="86">
        <f>'Family expenses'!B9</f>
        <v>1114.2021377672208</v>
      </c>
      <c r="C10" s="86">
        <f>B10*12</f>
        <v>13370.42565320665</v>
      </c>
      <c r="D10" s="24">
        <f>C10/C21</f>
        <v>0.14711434484700511</v>
      </c>
      <c r="E10" s="68"/>
      <c r="F10" s="19"/>
      <c r="G10" s="21"/>
      <c r="H10" s="21"/>
      <c r="K10" s="23"/>
      <c r="O10" s="9"/>
      <c r="R10" s="23"/>
      <c r="V10" s="9"/>
    </row>
    <row r="11" spans="1:23" ht="17" customHeight="1" x14ac:dyDescent="0.15">
      <c r="A11" s="17" t="s">
        <v>10</v>
      </c>
      <c r="B11" s="86">
        <f>C11/12</f>
        <v>173.83333333333334</v>
      </c>
      <c r="C11" s="86">
        <f>'Family expenses'!B15</f>
        <v>2086</v>
      </c>
      <c r="D11" s="24">
        <f>C11/C21</f>
        <v>2.295218800885767E-2</v>
      </c>
      <c r="F11" s="27"/>
      <c r="G11" s="28"/>
      <c r="H11" s="21"/>
      <c r="K11" s="23"/>
      <c r="O11" s="9"/>
      <c r="P11" s="29"/>
      <c r="R11" s="23"/>
      <c r="V11" s="9"/>
      <c r="W11" s="29"/>
    </row>
    <row r="12" spans="1:23" ht="17" customHeight="1" x14ac:dyDescent="0.15">
      <c r="A12" s="17" t="s">
        <v>135</v>
      </c>
      <c r="B12" s="86">
        <f>'Family expenses'!B25</f>
        <v>2483.7147368421056</v>
      </c>
      <c r="C12" s="86">
        <f>B12*12</f>
        <v>29804.576842105267</v>
      </c>
      <c r="D12" s="24">
        <f>C12/C21</f>
        <v>0.32793875896665653</v>
      </c>
      <c r="F12" s="19"/>
      <c r="G12" s="21"/>
      <c r="H12" s="21"/>
      <c r="K12" s="23"/>
      <c r="O12" s="9"/>
      <c r="P12" s="29"/>
      <c r="R12" s="23"/>
      <c r="V12" s="9"/>
      <c r="W12" s="29"/>
    </row>
    <row r="13" spans="1:23" ht="17" customHeight="1" x14ac:dyDescent="0.15">
      <c r="A13" s="17" t="s">
        <v>134</v>
      </c>
      <c r="B13" s="86">
        <f>'Family expenses'!B30</f>
        <v>196.49280000000002</v>
      </c>
      <c r="C13" s="86">
        <f>B13*12</f>
        <v>2357.9136000000003</v>
      </c>
      <c r="D13" s="24">
        <f>C13/C21</f>
        <v>2.5944044226194837E-2</v>
      </c>
      <c r="F13" s="19"/>
      <c r="G13" s="21"/>
      <c r="H13" s="21"/>
      <c r="K13" s="23"/>
      <c r="O13" s="9"/>
      <c r="P13" s="29"/>
      <c r="R13" s="23"/>
      <c r="V13" s="9"/>
      <c r="W13" s="29"/>
    </row>
    <row r="14" spans="1:23" ht="17" customHeight="1" x14ac:dyDescent="0.15">
      <c r="A14" s="17" t="s">
        <v>11</v>
      </c>
      <c r="B14" s="86">
        <f>C14/12</f>
        <v>545.6433656957928</v>
      </c>
      <c r="C14" s="86">
        <f>'Family expenses'!B38</f>
        <v>6547.7203883495131</v>
      </c>
      <c r="D14" s="24">
        <f>C14/C21</f>
        <v>7.2044347738652245E-2</v>
      </c>
      <c r="F14" s="27"/>
      <c r="H14" s="21"/>
      <c r="K14" s="23"/>
      <c r="O14" s="9"/>
      <c r="P14" s="29"/>
      <c r="R14" s="23"/>
      <c r="V14" s="9"/>
      <c r="W14" s="29"/>
    </row>
    <row r="15" spans="1:23" ht="17" customHeight="1" x14ac:dyDescent="0.15">
      <c r="A15" s="17" t="s">
        <v>77</v>
      </c>
      <c r="B15" s="86">
        <f>C15/12</f>
        <v>971.17874520981786</v>
      </c>
      <c r="C15" s="86">
        <f>0.754*(C10+C11)</f>
        <v>11654.144942517814</v>
      </c>
      <c r="D15" s="24">
        <f>C15/C21</f>
        <v>0.12823016577332053</v>
      </c>
      <c r="F15" s="19"/>
      <c r="G15" s="21"/>
      <c r="H15" s="21"/>
      <c r="K15" s="23"/>
      <c r="M15" s="8"/>
      <c r="O15" s="9"/>
      <c r="P15" s="29"/>
      <c r="R15" s="23"/>
      <c r="T15" s="8"/>
      <c r="V15" s="9"/>
      <c r="W15" s="29"/>
    </row>
    <row r="16" spans="1:23" s="36" customFormat="1" ht="17" customHeight="1" x14ac:dyDescent="0.15">
      <c r="A16" s="34" t="s">
        <v>12</v>
      </c>
      <c r="B16" s="127"/>
      <c r="C16" s="127">
        <f>SUM(C10:C15)</f>
        <v>65820.781426179237</v>
      </c>
      <c r="D16" s="35">
        <f>C16/C21</f>
        <v>0.72422384956068686</v>
      </c>
      <c r="E16"/>
      <c r="F16" s="13"/>
      <c r="G16" s="132"/>
      <c r="H16" s="21"/>
      <c r="I16"/>
      <c r="J16"/>
      <c r="K16" s="23"/>
      <c r="L16"/>
      <c r="M16"/>
      <c r="N16"/>
      <c r="O16" s="9"/>
      <c r="P16" s="29"/>
      <c r="R16" s="23"/>
      <c r="S16"/>
      <c r="T16"/>
      <c r="U16"/>
      <c r="V16" s="9"/>
      <c r="W16" s="29"/>
    </row>
    <row r="17" spans="1:28" ht="17" customHeight="1" x14ac:dyDescent="0.15">
      <c r="A17" s="74" t="s">
        <v>13</v>
      </c>
      <c r="B17" s="86">
        <f>C17/12</f>
        <v>1476.9166666666667</v>
      </c>
      <c r="C17" s="86">
        <f>'Family expenses'!B50</f>
        <v>17723</v>
      </c>
      <c r="D17" s="24">
        <f>C17/C21</f>
        <v>0.1950055743437126</v>
      </c>
      <c r="F17" s="15"/>
      <c r="G17" s="21"/>
      <c r="K17" s="23"/>
      <c r="L17" s="37"/>
      <c r="O17" s="144" t="s">
        <v>136</v>
      </c>
      <c r="P17" s="29"/>
      <c r="R17" s="23"/>
      <c r="S17" s="37"/>
      <c r="V17" s="9"/>
      <c r="W17" s="29"/>
    </row>
    <row r="18" spans="1:28" ht="17" customHeight="1" x14ac:dyDescent="0.15">
      <c r="A18" s="17" t="s">
        <v>78</v>
      </c>
      <c r="B18" s="86">
        <f>'Family expenses'!B53</f>
        <v>225</v>
      </c>
      <c r="C18" s="86">
        <f>B18*12</f>
        <v>2700</v>
      </c>
      <c r="D18" s="24">
        <f>C18/C21</f>
        <v>2.9708009407438018E-2</v>
      </c>
      <c r="F18" s="19"/>
      <c r="G18" s="21"/>
      <c r="H18" s="2"/>
      <c r="I18" s="2"/>
      <c r="K18" s="23"/>
      <c r="O18" s="9"/>
      <c r="P18" s="29"/>
      <c r="R18" s="23"/>
      <c r="V18" s="9"/>
      <c r="W18" s="29"/>
    </row>
    <row r="19" spans="1:28" ht="17" customHeight="1" x14ac:dyDescent="0.15">
      <c r="A19" s="17" t="s">
        <v>79</v>
      </c>
      <c r="B19" s="86">
        <f>C19/12</f>
        <v>280.93333333333334</v>
      </c>
      <c r="C19" s="86">
        <f>B52*B53*2+C52*C53*2</f>
        <v>3371.2</v>
      </c>
      <c r="D19" s="24">
        <f>C19/C21</f>
        <v>3.7093200486798164E-2</v>
      </c>
      <c r="F19" s="19"/>
      <c r="G19" s="40"/>
      <c r="I19" s="2"/>
      <c r="K19" s="23"/>
      <c r="L19" s="2"/>
      <c r="M19" s="2"/>
      <c r="O19" s="9"/>
      <c r="Q19" s="23"/>
      <c r="R19" s="2"/>
      <c r="S19" s="2"/>
      <c r="U19" s="9"/>
      <c r="V19" s="29"/>
    </row>
    <row r="20" spans="1:28" ht="17" customHeight="1" x14ac:dyDescent="0.15">
      <c r="A20" s="17" t="s">
        <v>14</v>
      </c>
      <c r="B20" s="86">
        <f>C20/12</f>
        <v>105.8</v>
      </c>
      <c r="C20" s="86">
        <f>'Family expenses'!B59</f>
        <v>1269.5999999999999</v>
      </c>
      <c r="D20" s="24">
        <f>C20/C21</f>
        <v>1.3969366201364188E-2</v>
      </c>
      <c r="F20" s="15"/>
      <c r="G20" s="31"/>
      <c r="I20" s="2"/>
      <c r="K20" s="23"/>
      <c r="L20" s="2"/>
      <c r="O20" s="9"/>
      <c r="Q20" s="23"/>
      <c r="R20" s="2"/>
      <c r="U20" s="9"/>
      <c r="V20" s="29"/>
    </row>
    <row r="21" spans="1:28" ht="17" customHeight="1" x14ac:dyDescent="0.15">
      <c r="A21" s="17" t="s">
        <v>15</v>
      </c>
      <c r="B21" s="86">
        <f>SUM(B9:B20)</f>
        <v>7573.7151188482703</v>
      </c>
      <c r="C21" s="86">
        <f>SUM(C10:C20)-C16</f>
        <v>90884.581426179255</v>
      </c>
      <c r="D21" s="24">
        <f>C21/C21</f>
        <v>1</v>
      </c>
      <c r="F21" s="21"/>
      <c r="G21" s="21"/>
      <c r="I21" s="2"/>
      <c r="K21" s="23"/>
      <c r="L21" s="2"/>
      <c r="N21" s="21"/>
      <c r="O21" s="9"/>
      <c r="Q21" s="23"/>
      <c r="R21" s="2"/>
      <c r="U21" s="9"/>
      <c r="V21" s="29"/>
    </row>
    <row r="22" spans="1:28" ht="17" customHeight="1" x14ac:dyDescent="0.15">
      <c r="B22" s="21"/>
      <c r="C22" s="21"/>
      <c r="D22" s="21"/>
      <c r="F22" s="37"/>
      <c r="G22" s="21"/>
      <c r="H22" s="21"/>
      <c r="I22" s="2"/>
      <c r="K22" s="23"/>
      <c r="L22" s="2"/>
      <c r="N22" s="21"/>
      <c r="O22" s="9"/>
      <c r="Q22" s="23"/>
      <c r="R22" s="2"/>
      <c r="U22" s="9"/>
      <c r="V22" s="23"/>
      <c r="W22" s="2"/>
      <c r="Z22" s="9"/>
      <c r="AA22" s="29"/>
    </row>
    <row r="23" spans="1:28" ht="17" customHeight="1" x14ac:dyDescent="0.15">
      <c r="B23" s="21"/>
      <c r="C23" s="21"/>
      <c r="D23" s="21"/>
      <c r="E23" s="21"/>
      <c r="F23" s="21"/>
      <c r="G23" s="21"/>
      <c r="H23" s="21"/>
      <c r="I23" s="21"/>
      <c r="J23" s="31"/>
      <c r="K23" s="21"/>
      <c r="L23" s="23"/>
      <c r="N23" s="2"/>
      <c r="P23" s="2"/>
      <c r="S23" s="9"/>
      <c r="T23" s="29"/>
      <c r="V23" s="23"/>
      <c r="W23" s="2"/>
      <c r="Z23" s="9"/>
      <c r="AA23" s="29"/>
    </row>
    <row r="24" spans="1:28" ht="17" customHeight="1" x14ac:dyDescent="0.2">
      <c r="A24" s="6" t="s">
        <v>16</v>
      </c>
      <c r="E24" s="122"/>
      <c r="H24" s="21"/>
      <c r="K24" s="6" t="s">
        <v>53</v>
      </c>
      <c r="L24" s="23"/>
      <c r="N24" s="2"/>
      <c r="P24" s="2"/>
      <c r="S24" s="9"/>
      <c r="T24" s="29"/>
      <c r="V24" s="43"/>
      <c r="W24" s="2"/>
      <c r="X24" s="2"/>
      <c r="Y24" s="8"/>
      <c r="Z24" s="44"/>
      <c r="AA24" s="45"/>
    </row>
    <row r="25" spans="1:28" ht="17" customHeight="1" x14ac:dyDescent="0.2">
      <c r="C25" s="6"/>
      <c r="L25" s="23"/>
      <c r="N25" s="2"/>
      <c r="P25" s="2"/>
      <c r="Q25" s="2"/>
      <c r="R25" s="8"/>
      <c r="S25" s="44"/>
      <c r="T25" s="45"/>
      <c r="W25" s="43"/>
      <c r="X25" s="2"/>
      <c r="Y25" s="2"/>
      <c r="Z25" s="8"/>
      <c r="AA25" s="44"/>
      <c r="AB25" s="45"/>
    </row>
    <row r="26" spans="1:28" ht="17" customHeight="1" x14ac:dyDescent="0.15">
      <c r="A26" s="46" t="s">
        <v>3</v>
      </c>
      <c r="B26" s="11" t="s">
        <v>4</v>
      </c>
      <c r="C26" s="11" t="s">
        <v>5</v>
      </c>
      <c r="D26" s="7"/>
      <c r="E26" s="47" t="s">
        <v>54</v>
      </c>
      <c r="F26" s="47" t="s">
        <v>74</v>
      </c>
      <c r="G26" s="47" t="s">
        <v>75</v>
      </c>
      <c r="H26" s="48" t="s">
        <v>100</v>
      </c>
      <c r="I26" s="7"/>
      <c r="K26" s="10" t="s">
        <v>118</v>
      </c>
      <c r="L26" s="11" t="s">
        <v>28</v>
      </c>
      <c r="M26" s="11" t="s">
        <v>29</v>
      </c>
      <c r="N26" s="11" t="s">
        <v>15</v>
      </c>
      <c r="P26" s="43"/>
      <c r="Q26" s="60"/>
      <c r="R26" s="60"/>
      <c r="S26" s="55"/>
      <c r="T26" s="44"/>
      <c r="U26" s="45"/>
      <c r="W26" s="23"/>
      <c r="X26" s="2"/>
      <c r="AA26" s="9"/>
      <c r="AB26" s="29"/>
    </row>
    <row r="27" spans="1:28" ht="17" customHeight="1" x14ac:dyDescent="0.15">
      <c r="A27" s="17" t="s">
        <v>96</v>
      </c>
      <c r="B27" s="86">
        <f>C27/12</f>
        <v>691.06980283333348</v>
      </c>
      <c r="C27" s="86">
        <f>MAX(0,E27)</f>
        <v>8292.8376340000013</v>
      </c>
      <c r="D27" s="19"/>
      <c r="E27" s="41">
        <f>IF(N29&lt;F27,(5765+6833),IF(N29&lt;G27,(5765+6833-(N29-F27)*0.135),(5765+6833-(G27-F27)*0.135-(N29-G27)*0.057)))</f>
        <v>8292.8376340000013</v>
      </c>
      <c r="F27" s="50">
        <v>32028</v>
      </c>
      <c r="G27" s="50">
        <v>69395</v>
      </c>
      <c r="H27" s="54">
        <f>(5765+6833-(G27-F27)*0.135)/0.057+G27</f>
        <v>201911.75438596492</v>
      </c>
      <c r="K27" s="17" t="s">
        <v>55</v>
      </c>
      <c r="L27" s="128">
        <v>37346.399999999994</v>
      </c>
      <c r="M27" s="128">
        <v>37346.399999999994</v>
      </c>
      <c r="N27" s="128">
        <v>74692.799999999988</v>
      </c>
      <c r="P27" s="23"/>
      <c r="Q27" s="60"/>
      <c r="R27" s="21"/>
      <c r="S27" s="21"/>
      <c r="T27" s="9"/>
      <c r="U27" s="29"/>
      <c r="W27" s="23"/>
      <c r="X27" s="2"/>
      <c r="AA27" s="9"/>
      <c r="AB27" s="29"/>
    </row>
    <row r="28" spans="1:28" ht="17" customHeight="1" x14ac:dyDescent="0.15">
      <c r="A28" s="17" t="s">
        <v>99</v>
      </c>
      <c r="B28" s="86">
        <f>C28/12</f>
        <v>115</v>
      </c>
      <c r="C28" s="86">
        <f>E28</f>
        <v>1380</v>
      </c>
      <c r="D28" s="51"/>
      <c r="E28" s="41">
        <f>IF(N29&lt;F28,(1600+1000),IF(N29&lt;G28,(MAX(700,1600-(N29-F28)*0.04)+MAX(680,1000-(N29-F28)*0.04)),MAX(0,700-(N29-G28)*0.04)+MAX(0,680-(N29-G28)*0.04)))</f>
        <v>1380</v>
      </c>
      <c r="F28" s="50">
        <v>25275</v>
      </c>
      <c r="G28" s="50">
        <v>80880</v>
      </c>
      <c r="H28" s="54"/>
      <c r="K28" s="17" t="s">
        <v>56</v>
      </c>
      <c r="L28" s="128">
        <v>-10673.1692</v>
      </c>
      <c r="M28" s="85">
        <v>-101.53919999999998</v>
      </c>
      <c r="N28" s="85"/>
      <c r="P28" s="23"/>
      <c r="Q28" s="60"/>
      <c r="R28" s="21"/>
      <c r="S28" s="21"/>
      <c r="T28" s="9"/>
      <c r="U28" s="29"/>
      <c r="W28" s="23"/>
      <c r="X28" s="2"/>
      <c r="AA28" s="9"/>
      <c r="AB28" s="29"/>
    </row>
    <row r="29" spans="1:28" ht="17" customHeight="1" x14ac:dyDescent="0.15">
      <c r="A29" s="17" t="s">
        <v>124</v>
      </c>
      <c r="B29" s="86">
        <f>(C29)/12</f>
        <v>0</v>
      </c>
      <c r="C29" s="86">
        <f>MAX(0,E29/2)</f>
        <v>0</v>
      </c>
      <c r="D29" s="51"/>
      <c r="E29" s="31">
        <f>IF(N29&lt;F29,2*(299+157),2*(299+157)-(N29-F29)*0.05)</f>
        <v>-339.30457999999931</v>
      </c>
      <c r="F29" s="54">
        <v>38892</v>
      </c>
      <c r="H29" s="54">
        <f>(299*2+157*2)/0.05+F29</f>
        <v>57132</v>
      </c>
      <c r="I29" s="21"/>
      <c r="K29" s="17" t="s">
        <v>57</v>
      </c>
      <c r="L29" s="128">
        <v>26673.230799999994</v>
      </c>
      <c r="M29" s="128">
        <v>37244.860799999995</v>
      </c>
      <c r="N29" s="128">
        <v>63918.091599999985</v>
      </c>
      <c r="P29" s="23"/>
      <c r="Q29" s="60"/>
      <c r="R29" s="21"/>
      <c r="S29" s="21"/>
      <c r="T29" s="9"/>
      <c r="U29" s="29"/>
      <c r="W29" s="23"/>
      <c r="X29" s="2"/>
      <c r="AA29" s="9"/>
      <c r="AB29" s="29"/>
    </row>
    <row r="30" spans="1:28" ht="17" customHeight="1" x14ac:dyDescent="0.15">
      <c r="A30" s="17" t="s">
        <v>125</v>
      </c>
      <c r="B30" s="86">
        <f>(C30)/12</f>
        <v>0</v>
      </c>
      <c r="C30" s="86">
        <f>MAX(0,E30/2)*2</f>
        <v>0</v>
      </c>
      <c r="D30" s="51"/>
      <c r="E30" s="31">
        <f>IF(N29&lt;F30,2*(306+161),2*(306+161)-(N29-F30)*0.05)</f>
        <v>-270.60457999999926</v>
      </c>
      <c r="F30" s="54">
        <v>39826</v>
      </c>
      <c r="H30" s="54">
        <f>(306*2+161*2)/0.05+F30</f>
        <v>58506</v>
      </c>
      <c r="I30" s="21"/>
      <c r="K30" s="67"/>
      <c r="L30" s="68"/>
      <c r="M30" s="68"/>
      <c r="N30" s="68"/>
      <c r="P30" s="23"/>
      <c r="Q30" s="60"/>
      <c r="R30" s="21"/>
      <c r="S30" s="21"/>
      <c r="T30" s="9"/>
      <c r="U30" s="29"/>
      <c r="W30" s="23"/>
      <c r="X30" s="2"/>
      <c r="AA30" s="9"/>
      <c r="AB30" s="29"/>
    </row>
    <row r="31" spans="1:28" ht="17" customHeight="1" x14ac:dyDescent="0.15">
      <c r="A31" s="17" t="s">
        <v>94</v>
      </c>
      <c r="B31" s="86">
        <v>0</v>
      </c>
      <c r="C31" s="86">
        <f>12*B31</f>
        <v>0</v>
      </c>
      <c r="D31" s="31" t="s">
        <v>108</v>
      </c>
      <c r="F31" s="30"/>
      <c r="G31" s="31"/>
      <c r="H31" s="21"/>
      <c r="I31" s="21"/>
      <c r="N31" s="122"/>
      <c r="P31" s="75"/>
      <c r="Q31" s="60"/>
      <c r="R31" s="21"/>
      <c r="S31" s="21"/>
      <c r="T31" s="9"/>
      <c r="U31" s="29"/>
      <c r="W31" s="23"/>
      <c r="X31" s="2"/>
      <c r="AA31" s="9"/>
      <c r="AB31" s="29"/>
    </row>
    <row r="32" spans="1:28" ht="17" customHeight="1" x14ac:dyDescent="0.15">
      <c r="A32" s="17" t="s">
        <v>123</v>
      </c>
      <c r="B32" s="86">
        <f t="shared" ref="B32:B37" si="0">C32/12</f>
        <v>0.62242366666667925</v>
      </c>
      <c r="C32" s="86">
        <f>MAX(0,E32/2)</f>
        <v>7.4690840000001515</v>
      </c>
      <c r="D32" s="19"/>
      <c r="E32" s="41">
        <f>IF(N29&lt;F32,2*(174+51),2*(174+51)-(N29-F32)*0.02)</f>
        <v>14.938168000000303</v>
      </c>
      <c r="F32" s="54">
        <v>42165</v>
      </c>
      <c r="H32" s="54">
        <v>64665</v>
      </c>
      <c r="I32" s="21"/>
      <c r="K32" s="67"/>
      <c r="L32" s="67"/>
      <c r="M32" s="67"/>
      <c r="N32" s="81"/>
      <c r="P32" s="23"/>
      <c r="Q32" s="60"/>
      <c r="R32" s="21"/>
      <c r="S32" s="21"/>
      <c r="T32" s="9"/>
      <c r="U32" s="29"/>
      <c r="W32" s="23"/>
      <c r="X32" s="2"/>
      <c r="AA32" s="9"/>
      <c r="AB32" s="29"/>
    </row>
    <row r="33" spans="1:28" ht="17" customHeight="1" x14ac:dyDescent="0.15">
      <c r="A33" s="17" t="s">
        <v>126</v>
      </c>
      <c r="B33" s="86">
        <f t="shared" si="0"/>
        <v>1.7220451666666723</v>
      </c>
      <c r="C33" s="86">
        <f>MAX(0,E33/4)</f>
        <v>20.664542000000068</v>
      </c>
      <c r="D33" s="19"/>
      <c r="E33" s="41">
        <f>IF(N29&lt;F33,2*(193.5+56.5),2*(193.5+56.5)-(N29-F33)*0.02)</f>
        <v>82.658168000000273</v>
      </c>
      <c r="F33" s="54">
        <v>43051</v>
      </c>
      <c r="H33" s="54">
        <v>68051</v>
      </c>
      <c r="I33" s="21"/>
      <c r="K33" s="67"/>
      <c r="L33" s="67"/>
      <c r="M33" s="67"/>
      <c r="N33" s="67"/>
      <c r="P33" s="23"/>
      <c r="Q33" s="60"/>
      <c r="R33" s="21"/>
      <c r="S33" s="21"/>
      <c r="T33" s="9"/>
      <c r="U33" s="29"/>
      <c r="W33" s="23"/>
      <c r="X33" s="2"/>
      <c r="AA33" s="9"/>
      <c r="AB33" s="29"/>
    </row>
    <row r="34" spans="1:28" ht="17" customHeight="1" x14ac:dyDescent="0.15">
      <c r="A34" s="17" t="s">
        <v>127</v>
      </c>
      <c r="B34" s="86">
        <f t="shared" si="0"/>
        <v>9.8065140000000213</v>
      </c>
      <c r="C34" s="86">
        <f>E34</f>
        <v>117.67816800000026</v>
      </c>
      <c r="D34" s="19"/>
      <c r="E34" s="41">
        <f>IF(N29&lt;F34,2*(212.38+55.13),2*(212.38+55.13)-(N29-F34)*0.02)</f>
        <v>117.67816800000026</v>
      </c>
      <c r="F34" s="54">
        <v>43051</v>
      </c>
      <c r="H34" s="54">
        <v>150051</v>
      </c>
      <c r="I34" s="21"/>
      <c r="K34" s="67"/>
      <c r="L34" s="67"/>
      <c r="M34" s="67"/>
      <c r="N34" s="67"/>
      <c r="P34" s="23"/>
      <c r="Q34" s="60"/>
      <c r="R34" s="21"/>
      <c r="S34" s="21"/>
      <c r="T34" s="9"/>
      <c r="U34" s="29"/>
      <c r="W34" s="23"/>
      <c r="X34" s="2"/>
      <c r="AA34" s="9"/>
      <c r="AB34" s="29"/>
    </row>
    <row r="35" spans="1:28" ht="17" customHeight="1" x14ac:dyDescent="0.15">
      <c r="A35" s="17" t="s">
        <v>84</v>
      </c>
      <c r="B35" s="86">
        <f t="shared" si="0"/>
        <v>584.44749999999999</v>
      </c>
      <c r="C35" s="86">
        <f>MIN('Family expenses'!B45,J45*12)+MIN('Family expenses'!B46,J46*10)+MIN('Family expenses'!B47,6/20*J47)+MIN('Family expenses'!B48,15/20*J47)+MIN('Family expenses'!B49,J47*1.5)</f>
        <v>7013.37</v>
      </c>
      <c r="H35" s="21"/>
      <c r="I35" s="21"/>
      <c r="J35" s="67"/>
      <c r="K35" s="67"/>
      <c r="L35" s="67"/>
      <c r="M35" s="67"/>
      <c r="N35" s="67"/>
      <c r="O35" s="67"/>
      <c r="P35" s="96"/>
      <c r="Q35" s="60"/>
      <c r="R35" s="21"/>
      <c r="S35" s="21"/>
      <c r="T35" s="9"/>
      <c r="U35" s="29"/>
      <c r="W35" s="23"/>
      <c r="X35" s="2"/>
      <c r="AA35" s="9"/>
      <c r="AB35" s="29"/>
    </row>
    <row r="36" spans="1:28" ht="17" customHeight="1" x14ac:dyDescent="0.15">
      <c r="A36" s="17" t="s">
        <v>122</v>
      </c>
      <c r="B36" s="86">
        <f t="shared" si="0"/>
        <v>9.1666666666666661</v>
      </c>
      <c r="C36" s="86">
        <v>110</v>
      </c>
      <c r="H36" s="21"/>
      <c r="I36" s="21"/>
      <c r="J36" s="67"/>
      <c r="K36" s="67"/>
      <c r="L36" s="67"/>
      <c r="M36" s="67"/>
      <c r="N36" s="67"/>
      <c r="O36" s="67"/>
      <c r="P36" s="96"/>
      <c r="Q36" s="60"/>
      <c r="R36" s="21"/>
      <c r="S36" s="21"/>
      <c r="T36" s="9"/>
      <c r="U36" s="29"/>
      <c r="W36" s="23"/>
      <c r="X36" s="2"/>
      <c r="AA36" s="9"/>
      <c r="AB36" s="29"/>
    </row>
    <row r="37" spans="1:28" ht="17" customHeight="1" x14ac:dyDescent="0.15">
      <c r="A37" s="17" t="s">
        <v>15</v>
      </c>
      <c r="B37" s="86">
        <f t="shared" si="0"/>
        <v>1411.8349523333336</v>
      </c>
      <c r="C37" s="86">
        <f>SUM(C27:C36)</f>
        <v>16942.019428000003</v>
      </c>
      <c r="D37" s="30" t="s">
        <v>76</v>
      </c>
      <c r="E37" s="42"/>
      <c r="I37" s="21"/>
      <c r="J37" s="67"/>
      <c r="K37" s="67"/>
      <c r="L37" s="67"/>
      <c r="M37" s="67"/>
      <c r="N37" s="67"/>
      <c r="O37" s="67"/>
      <c r="P37" s="23"/>
      <c r="Q37" s="60"/>
      <c r="R37" s="21"/>
      <c r="S37" s="21"/>
      <c r="T37" s="9"/>
      <c r="U37" s="29"/>
      <c r="W37" s="23"/>
      <c r="AA37" s="9"/>
    </row>
    <row r="38" spans="1:28" ht="17" customHeight="1" x14ac:dyDescent="0.15">
      <c r="A38" s="67"/>
      <c r="B38" s="66"/>
      <c r="C38" s="66"/>
      <c r="E38" s="42"/>
      <c r="I38" s="21"/>
      <c r="J38" s="67"/>
      <c r="K38" s="67"/>
      <c r="L38" s="67"/>
      <c r="M38" s="67"/>
      <c r="N38" s="95"/>
      <c r="O38" s="67"/>
      <c r="P38" s="23"/>
      <c r="Q38" s="21"/>
      <c r="R38" s="21"/>
      <c r="S38" s="21"/>
      <c r="T38" s="9"/>
      <c r="W38" s="23"/>
      <c r="X38" s="2"/>
      <c r="AA38" s="9"/>
      <c r="AB38" s="29"/>
    </row>
    <row r="39" spans="1:28" ht="17" customHeight="1" x14ac:dyDescent="0.15">
      <c r="A39" s="67"/>
      <c r="B39" s="66"/>
      <c r="C39" s="66"/>
      <c r="D39" s="68"/>
      <c r="E39" s="42"/>
      <c r="I39" s="21"/>
      <c r="J39" s="67"/>
      <c r="K39" s="67"/>
      <c r="L39" s="67"/>
      <c r="M39" s="67"/>
      <c r="N39" s="67"/>
      <c r="O39" s="67"/>
      <c r="P39" s="23"/>
      <c r="Q39" s="60"/>
      <c r="R39" s="21"/>
      <c r="S39" s="21"/>
      <c r="T39" s="9"/>
      <c r="U39" s="29"/>
      <c r="W39" s="23"/>
      <c r="X39" s="2"/>
      <c r="AA39" s="9"/>
      <c r="AB39" s="29"/>
    </row>
    <row r="40" spans="1:28" ht="17" customHeight="1" x14ac:dyDescent="0.15">
      <c r="A40" s="67"/>
      <c r="B40" s="66"/>
      <c r="C40" s="66"/>
      <c r="D40" s="68"/>
      <c r="E40" s="42"/>
      <c r="I40" s="21"/>
      <c r="J40" s="67"/>
      <c r="K40" s="67"/>
      <c r="L40" s="67"/>
      <c r="M40" s="67"/>
      <c r="N40" s="67"/>
      <c r="O40" s="67"/>
      <c r="P40" s="23"/>
      <c r="Q40" s="60"/>
      <c r="R40" s="21"/>
      <c r="S40" s="21"/>
      <c r="T40" s="9"/>
      <c r="U40" s="29"/>
      <c r="W40" s="23"/>
      <c r="X40" s="2"/>
      <c r="AA40" s="9"/>
      <c r="AB40" s="29"/>
    </row>
    <row r="41" spans="1:28" ht="17" customHeight="1" x14ac:dyDescent="0.2">
      <c r="A41" s="6" t="s">
        <v>21</v>
      </c>
      <c r="J41" s="67"/>
      <c r="L41" s="75"/>
      <c r="M41" s="21"/>
      <c r="N41" s="60"/>
      <c r="O41" s="67"/>
      <c r="P41" s="23"/>
      <c r="Q41" s="60"/>
      <c r="R41" s="21"/>
      <c r="S41" s="21"/>
      <c r="T41" s="9"/>
      <c r="U41" s="29"/>
      <c r="W41" s="23"/>
      <c r="X41" s="8"/>
      <c r="Y41" s="8"/>
    </row>
    <row r="42" spans="1:28" ht="17" customHeight="1" x14ac:dyDescent="0.2">
      <c r="A42" s="3"/>
      <c r="K42" s="96"/>
      <c r="L42" s="68"/>
      <c r="M42" s="68"/>
      <c r="N42" s="68"/>
      <c r="P42" s="23"/>
      <c r="Q42" s="55"/>
      <c r="R42" s="55"/>
      <c r="S42" s="21"/>
    </row>
    <row r="43" spans="1:28" ht="17" customHeight="1" x14ac:dyDescent="0.2">
      <c r="A43" s="56"/>
      <c r="B43" s="11"/>
      <c r="C43" s="11" t="s">
        <v>5</v>
      </c>
      <c r="D43" s="7"/>
      <c r="E43" s="113" t="s">
        <v>84</v>
      </c>
      <c r="F43" s="114"/>
      <c r="G43" s="114"/>
      <c r="H43" s="115"/>
      <c r="L43" s="68"/>
      <c r="M43" s="68"/>
      <c r="N43" s="68"/>
      <c r="O43" s="68"/>
    </row>
    <row r="44" spans="1:28" ht="17" customHeight="1" x14ac:dyDescent="0.15">
      <c r="A44" s="17" t="s">
        <v>22</v>
      </c>
      <c r="B44" s="18"/>
      <c r="C44" s="86">
        <f>C37+D62</f>
        <v>90903.139779460005</v>
      </c>
      <c r="E44" s="112" t="s">
        <v>23</v>
      </c>
      <c r="F44" s="112" t="s">
        <v>24</v>
      </c>
      <c r="G44" s="112" t="s">
        <v>74</v>
      </c>
      <c r="H44" s="112" t="s">
        <v>75</v>
      </c>
      <c r="I44" s="12" t="s">
        <v>85</v>
      </c>
      <c r="J44" s="57" t="s">
        <v>25</v>
      </c>
      <c r="L44" s="68"/>
      <c r="M44" s="68"/>
      <c r="N44" s="68"/>
      <c r="O44" s="68"/>
    </row>
    <row r="45" spans="1:28" ht="17" customHeight="1" x14ac:dyDescent="0.15">
      <c r="A45" s="17" t="s">
        <v>26</v>
      </c>
      <c r="B45" s="18"/>
      <c r="C45" s="86">
        <f>C21</f>
        <v>90884.581426179255</v>
      </c>
      <c r="E45" s="12">
        <v>4</v>
      </c>
      <c r="F45" s="12">
        <v>550</v>
      </c>
      <c r="G45" s="107">
        <v>45000</v>
      </c>
      <c r="H45" s="107">
        <v>60000</v>
      </c>
      <c r="I45" s="107">
        <v>80000</v>
      </c>
      <c r="J45" s="57">
        <f>IF((N27-4000)&lt;G45,F45,IF((N27-4000)&lt;H45,F45*(1-(N27-4000-G45)*0.272/15000),IF((N27-4000)&lt;I45,0.728*F45,IF((N27-4000)&lt;111000,0.728*F45*(1-(N27-4000-I45)/31000),0))))</f>
        <v>400.4</v>
      </c>
      <c r="L45" s="68"/>
      <c r="M45" s="68"/>
      <c r="N45" s="68"/>
      <c r="O45" s="68"/>
      <c r="X45" s="7"/>
      <c r="Y45" s="8"/>
      <c r="Z45" s="8"/>
      <c r="AA45" s="8"/>
      <c r="AB45" s="55"/>
    </row>
    <row r="46" spans="1:28" ht="17" customHeight="1" x14ac:dyDescent="0.15">
      <c r="A46" s="17" t="s">
        <v>27</v>
      </c>
      <c r="B46" s="18"/>
      <c r="C46" s="86">
        <f>C44-C45</f>
        <v>18.558353280750453</v>
      </c>
      <c r="E46" s="12" t="s">
        <v>82</v>
      </c>
      <c r="F46" s="12">
        <v>210</v>
      </c>
      <c r="G46" s="107">
        <v>45000</v>
      </c>
      <c r="H46" s="107">
        <v>60000</v>
      </c>
      <c r="I46" s="107">
        <v>80000</v>
      </c>
      <c r="J46" s="57">
        <f>IF((N27-4000)&lt;G46,F46,IF((N27-4000)&lt;H46,F46*(1-(N27-4000-G46)*0.272/15000),IF((N27-4000)&lt;I46,0.728*F46,IF((N27-4000)&lt;111000,0.728*F46*(1-(N27-4000-I46)/31000),0))))</f>
        <v>152.88</v>
      </c>
      <c r="L46" s="68"/>
      <c r="M46" s="68"/>
      <c r="N46" s="68"/>
      <c r="O46" s="68"/>
      <c r="Q46" s="7"/>
      <c r="R46" s="8"/>
      <c r="S46" s="8"/>
      <c r="T46" s="8"/>
      <c r="U46" s="55"/>
    </row>
    <row r="47" spans="1:28" ht="17" customHeight="1" x14ac:dyDescent="0.15">
      <c r="B47" s="21"/>
      <c r="C47" s="21"/>
      <c r="E47" s="12" t="s">
        <v>83</v>
      </c>
      <c r="F47" s="12">
        <v>415</v>
      </c>
      <c r="G47" s="107">
        <v>45000</v>
      </c>
      <c r="H47" s="107">
        <v>60000</v>
      </c>
      <c r="I47" s="107">
        <v>80000</v>
      </c>
      <c r="J47" s="57">
        <f>IF((N27-4000)&lt;G47,F47,IF((N27-4000)&lt;H47,F47*(1-(N27-4000-G47)*0.272/15000),IF((N27-4000)&lt;I47,0.728*F47,IF((N27-4000)&lt;111000,0.728*F47*(1-(N27-4000-I47)/31000),0))))</f>
        <v>302.12</v>
      </c>
      <c r="K47" s="109"/>
      <c r="L47" s="68"/>
      <c r="M47" s="68"/>
      <c r="N47" s="68"/>
      <c r="O47" s="68"/>
    </row>
    <row r="48" spans="1:28" ht="17" customHeight="1" x14ac:dyDescent="0.15">
      <c r="E48" s="31" t="s">
        <v>93</v>
      </c>
      <c r="J48" s="21"/>
      <c r="K48" s="21"/>
      <c r="L48" s="68"/>
      <c r="M48" s="68"/>
      <c r="N48" s="68"/>
      <c r="O48" s="68"/>
    </row>
    <row r="49" spans="1:21" ht="17" customHeight="1" x14ac:dyDescent="0.2">
      <c r="A49" s="133" t="s">
        <v>90</v>
      </c>
      <c r="J49" s="21"/>
      <c r="K49" s="21"/>
      <c r="L49" s="68"/>
      <c r="M49" s="68"/>
      <c r="N49" s="68"/>
      <c r="O49" s="68"/>
    </row>
    <row r="50" spans="1:21" ht="17" customHeight="1" x14ac:dyDescent="0.15">
      <c r="B50" s="7"/>
      <c r="K50" s="21"/>
      <c r="L50" s="68"/>
      <c r="M50" s="68"/>
      <c r="N50" s="68"/>
      <c r="O50" s="68"/>
    </row>
    <row r="51" spans="1:21" ht="17" customHeight="1" x14ac:dyDescent="0.15">
      <c r="A51" s="11"/>
      <c r="B51" s="11" t="s">
        <v>28</v>
      </c>
      <c r="C51" s="11" t="s">
        <v>29</v>
      </c>
      <c r="D51" s="11" t="s">
        <v>15</v>
      </c>
      <c r="E51" s="23"/>
      <c r="F51" s="7"/>
      <c r="G51" s="59"/>
      <c r="H51" s="59"/>
      <c r="K51" s="109"/>
      <c r="M51" s="68"/>
      <c r="N51" s="68"/>
      <c r="O51" s="68"/>
    </row>
    <row r="52" spans="1:21" ht="17" customHeight="1" x14ac:dyDescent="0.15">
      <c r="A52" s="17" t="s">
        <v>30</v>
      </c>
      <c r="B52" s="17">
        <v>35</v>
      </c>
      <c r="C52" s="134">
        <v>35</v>
      </c>
      <c r="D52" s="17">
        <f>B52+C52</f>
        <v>70</v>
      </c>
      <c r="E52" s="2"/>
      <c r="F52" s="153" t="s">
        <v>31</v>
      </c>
      <c r="G52" s="154"/>
      <c r="H52" s="154"/>
      <c r="I52" s="155"/>
      <c r="K52" s="21"/>
      <c r="L52" s="75"/>
      <c r="M52" s="75"/>
      <c r="N52" s="23"/>
      <c r="O52" s="68"/>
    </row>
    <row r="53" spans="1:21" ht="17" customHeight="1" x14ac:dyDescent="0.15">
      <c r="A53" s="17" t="s">
        <v>32</v>
      </c>
      <c r="B53" s="135">
        <v>24.08</v>
      </c>
      <c r="C53" s="136">
        <f>B53</f>
        <v>24.08</v>
      </c>
      <c r="D53" s="17"/>
      <c r="E53" s="2"/>
      <c r="F53" s="151" t="s">
        <v>28</v>
      </c>
      <c r="G53" s="152"/>
      <c r="H53" s="151" t="s">
        <v>29</v>
      </c>
      <c r="I53" s="152"/>
      <c r="J53" s="23"/>
      <c r="K53" s="21"/>
      <c r="L53" s="60"/>
      <c r="M53" s="60"/>
      <c r="N53" s="2"/>
    </row>
    <row r="54" spans="1:21" s="23" customFormat="1" ht="17" customHeight="1" x14ac:dyDescent="0.15">
      <c r="A54" s="17" t="s">
        <v>33</v>
      </c>
      <c r="B54" s="86">
        <f>B53*B52*52</f>
        <v>43825.599999999999</v>
      </c>
      <c r="C54" s="86">
        <f>C53*C52*52</f>
        <v>43825.599999999999</v>
      </c>
      <c r="D54" s="86">
        <f t="shared" ref="D54:D61" si="1">B54+C54</f>
        <v>87651.199999999997</v>
      </c>
      <c r="E54"/>
      <c r="F54" s="61" t="s">
        <v>35</v>
      </c>
      <c r="G54" s="63">
        <f>MIN((MIN('Family expenses'!B45-MIN('Family expenses'!B45,J45*12),8000)+MIN(MIN('Family expenses'!B46-MIN('Family expenses'!B46,J46*10))+MIN('Family expenses'!B47-MIN('Family expenses'!B47,6/20*J47))+MIN('Family expenses'!B48-MIN('Family expenses'!B48,15/20*J47))+MIN('Family expenses'!B49-MIN('Family expenses'!B49,J47*1.5)),5000)))</f>
        <v>10709.630000000001</v>
      </c>
      <c r="H54" s="61" t="s">
        <v>102</v>
      </c>
      <c r="I54" s="63">
        <f>MIN(250,'Family expenses'!B56)</f>
        <v>250</v>
      </c>
      <c r="J54" s="2"/>
      <c r="L54" s="2"/>
      <c r="M54" s="2"/>
      <c r="N54" s="2"/>
      <c r="O54"/>
      <c r="P54"/>
      <c r="Q54"/>
      <c r="R54"/>
      <c r="S54"/>
      <c r="T54"/>
      <c r="U54"/>
    </row>
    <row r="55" spans="1:21" s="2" customFormat="1" ht="17" customHeight="1" x14ac:dyDescent="0.15">
      <c r="A55" s="17" t="s">
        <v>34</v>
      </c>
      <c r="B55" s="86">
        <f>-G54-(B54-3500)*0.5%</f>
        <v>-10911.258000000002</v>
      </c>
      <c r="C55" s="86">
        <f>-(C54-3500)*0.5%</f>
        <v>-201.62799999999999</v>
      </c>
      <c r="D55" s="86"/>
      <c r="E55"/>
      <c r="F55" s="61" t="s">
        <v>37</v>
      </c>
      <c r="G55" s="63">
        <f>(C18-B56*0.03)</f>
        <v>1712.5697400000001</v>
      </c>
      <c r="H55" s="61" t="s">
        <v>103</v>
      </c>
      <c r="I55" s="63">
        <f>2*'Family expenses'!B56-I54</f>
        <v>489.5</v>
      </c>
      <c r="K55" s="60"/>
      <c r="L55"/>
      <c r="M55"/>
      <c r="N55"/>
      <c r="O55" s="23"/>
      <c r="P55" s="23"/>
      <c r="Q55" s="23"/>
      <c r="R55" s="23"/>
      <c r="S55" s="23"/>
      <c r="T55" s="23"/>
      <c r="U55" s="23"/>
    </row>
    <row r="56" spans="1:21" s="2" customFormat="1" ht="17" customHeight="1" x14ac:dyDescent="0.15">
      <c r="A56" s="17" t="s">
        <v>36</v>
      </c>
      <c r="B56" s="86">
        <f>B54+B55</f>
        <v>32914.341999999997</v>
      </c>
      <c r="C56" s="86">
        <f>C54+C55</f>
        <v>43623.972000000002</v>
      </c>
      <c r="D56" s="86">
        <f t="shared" si="1"/>
        <v>76538.313999999998</v>
      </c>
      <c r="E56"/>
      <c r="F56" s="61" t="s">
        <v>39</v>
      </c>
      <c r="G56" s="63">
        <f>IF(D56&lt;54146,IF((0.25*G55- 0.05*(D56-28446))&gt;0,(0.25*G55 - 0.05*(D56-28446)),0),0)</f>
        <v>0</v>
      </c>
      <c r="H56" s="61" t="s">
        <v>98</v>
      </c>
      <c r="I56" s="62">
        <f>IF(D56&lt;42197, (MIN(0.26*(D54-3000),2403)-0.12*(D56-26177)),0)</f>
        <v>0</v>
      </c>
      <c r="J56"/>
      <c r="K56" s="60"/>
      <c r="L56"/>
    </row>
    <row r="57" spans="1:21" ht="17" customHeight="1" x14ac:dyDescent="0.15">
      <c r="A57" s="17" t="s">
        <v>38</v>
      </c>
      <c r="B57" s="86">
        <f>B54*0.0158</f>
        <v>692.44448</v>
      </c>
      <c r="C57" s="86">
        <f>C54*0.0158</f>
        <v>692.44448</v>
      </c>
      <c r="D57" s="86">
        <f t="shared" si="1"/>
        <v>1384.88896</v>
      </c>
      <c r="F57" s="23"/>
      <c r="G57" s="64"/>
      <c r="H57" s="21"/>
      <c r="I57" s="30"/>
      <c r="K57" s="2"/>
      <c r="L57" s="21"/>
      <c r="M57" s="122"/>
      <c r="O57" s="2"/>
      <c r="P57" s="2"/>
      <c r="Q57" s="2"/>
      <c r="R57" s="2"/>
      <c r="S57" s="2"/>
      <c r="T57" s="2"/>
      <c r="U57" s="2"/>
    </row>
    <row r="58" spans="1:21" ht="17" customHeight="1" x14ac:dyDescent="0.15">
      <c r="A58" s="17" t="s">
        <v>40</v>
      </c>
      <c r="B58" s="86">
        <f>(B54-3500)*0.0545</f>
        <v>2197.7451999999998</v>
      </c>
      <c r="C58" s="86">
        <f>(C54-3500)*0.0545</f>
        <v>2197.7451999999998</v>
      </c>
      <c r="D58" s="86">
        <f t="shared" si="1"/>
        <v>4395.4903999999997</v>
      </c>
      <c r="E58" s="27"/>
      <c r="F58" s="109"/>
      <c r="G58" s="97"/>
      <c r="H58" s="21"/>
      <c r="I58" s="21"/>
      <c r="K58" s="2"/>
      <c r="L58" s="21"/>
      <c r="M58" s="122"/>
      <c r="O58" s="21"/>
      <c r="Q58" s="122"/>
    </row>
    <row r="59" spans="1:21" ht="17" customHeight="1" x14ac:dyDescent="0.15">
      <c r="A59" s="17" t="s">
        <v>41</v>
      </c>
      <c r="B59" s="86">
        <f>IF(B56&lt;49020,MAX(0,(B56*0.15-(13808+B57+(B54-3500)*0.0495+1257+G55)*0.15)),(B56-49020)*0.205+7353-(13808+B57+(B54-3500)*0.0495+1257+G55)*0.15)</f>
        <v>2017.2315869999998</v>
      </c>
      <c r="C59" s="88">
        <f>IF(C56&lt;49020,MAX(0,(C56*0.15-(13808+C57+(C54-3500)*0.0495+1257+I55)*0.15)),(C56-49020)*0.205+7353-(13808+C57+(C54-3500)*0.0495+1257+I55)*0.15)</f>
        <v>3807.1365480000004</v>
      </c>
      <c r="D59" s="86">
        <f t="shared" si="1"/>
        <v>5824.3681350000006</v>
      </c>
      <c r="E59" s="19"/>
      <c r="F59" s="137"/>
      <c r="G59" s="97"/>
      <c r="I59" s="31"/>
      <c r="K59" s="2"/>
      <c r="L59" s="21"/>
      <c r="M59" s="122"/>
      <c r="O59" s="122"/>
      <c r="Q59" s="122"/>
    </row>
    <row r="60" spans="1:21" ht="17" customHeight="1" x14ac:dyDescent="0.15">
      <c r="A60" s="17" t="s">
        <v>80</v>
      </c>
      <c r="B60" s="86">
        <f>-G56</f>
        <v>0</v>
      </c>
      <c r="C60" s="86">
        <f>-I56-G56-I54</f>
        <v>-250</v>
      </c>
      <c r="D60" s="86">
        <f>-(B60+C60)</f>
        <v>250</v>
      </c>
      <c r="E60" s="36"/>
      <c r="F60" s="109"/>
      <c r="G60" s="38"/>
      <c r="H60" s="38"/>
      <c r="I60" s="30"/>
      <c r="K60" s="2"/>
      <c r="M60" s="122"/>
      <c r="O60" s="122"/>
      <c r="Q60" s="122"/>
    </row>
    <row r="61" spans="1:21" ht="17" customHeight="1" x14ac:dyDescent="0.15">
      <c r="A61" s="17" t="s">
        <v>43</v>
      </c>
      <c r="B61" s="86">
        <f>IF(B56&lt;42184,MAX(0,(B56*0.0506-(11070+B57+(B54-3500)*0.0495+G55)*0.0506-MAX(0,481-(B56-21418)*0.0356))),(B56-42184)*0.077+2134.51-(11070+B57+(B54-3500)*0.0495+G55)*0.0506-MAX(0,481-(B56-21418)*0.0356))</f>
        <v>810.89623054799961</v>
      </c>
      <c r="C61" s="86">
        <f>IF(C56&lt;42184,MAX(0,(C56*0.0506-(11070+C57+(C54-3500)*0.0495+I55)*0.0506-MAX(0,481-(C56-21418)*0.0356))),(C56-42184)*0.077+2134.51-(11070+C57+(C54-3500)*0.0495+I55)*0.0506-MAX(0,481-(C56-21418)*0.0356))</f>
        <v>1524.4359229920003</v>
      </c>
      <c r="D61" s="86">
        <f t="shared" si="1"/>
        <v>2335.33215354</v>
      </c>
      <c r="E61" s="31"/>
      <c r="F61" s="109"/>
      <c r="G61" s="98"/>
      <c r="H61" s="21"/>
      <c r="K61" s="60"/>
      <c r="M61" s="122"/>
      <c r="O61" s="122"/>
      <c r="Q61" s="122"/>
    </row>
    <row r="62" spans="1:21" ht="17" customHeight="1" x14ac:dyDescent="0.15">
      <c r="A62" s="17" t="s">
        <v>44</v>
      </c>
      <c r="B62" s="86">
        <f>B54-SUM(B57:B61)</f>
        <v>38107.282502451999</v>
      </c>
      <c r="C62" s="86">
        <f>C54-SUM(C57:C61)</f>
        <v>35853.837849007999</v>
      </c>
      <c r="D62" s="86">
        <f>B62+C62</f>
        <v>73961.120351460006</v>
      </c>
      <c r="E62" s="36"/>
      <c r="F62" s="109"/>
      <c r="G62" s="38"/>
      <c r="H62" s="131"/>
      <c r="I62" s="42"/>
      <c r="Q62" s="122"/>
    </row>
    <row r="63" spans="1:21" ht="17" customHeight="1" x14ac:dyDescent="0.2">
      <c r="A63" s="17" t="s">
        <v>45</v>
      </c>
      <c r="B63" s="86">
        <f>B62/12</f>
        <v>3175.6068752043334</v>
      </c>
      <c r="C63" s="86">
        <f>C62/12</f>
        <v>2987.8198207506666</v>
      </c>
      <c r="D63" s="86">
        <f>B63+C63</f>
        <v>6163.4266959550005</v>
      </c>
      <c r="F63" s="109"/>
      <c r="G63" s="110"/>
      <c r="H63" s="58"/>
      <c r="I63" s="21"/>
      <c r="L63" s="21"/>
      <c r="Q63" s="122"/>
    </row>
    <row r="64" spans="1:21" ht="17" customHeight="1" x14ac:dyDescent="0.2">
      <c r="B64" s="21"/>
      <c r="C64" s="21"/>
      <c r="D64" s="21"/>
      <c r="F64" s="109"/>
      <c r="G64" s="6"/>
      <c r="H64" s="58"/>
      <c r="L64" s="21"/>
      <c r="Q64" s="122"/>
    </row>
    <row r="65" spans="1:21" ht="17" customHeight="1" x14ac:dyDescent="0.2">
      <c r="B65" s="21"/>
      <c r="C65" s="21"/>
      <c r="D65" s="21"/>
      <c r="F65" s="109"/>
      <c r="H65" s="58"/>
      <c r="I65" s="6"/>
      <c r="K65" s="21"/>
    </row>
    <row r="66" spans="1:21" ht="17" customHeight="1" x14ac:dyDescent="0.2">
      <c r="A66" s="6" t="s">
        <v>91</v>
      </c>
      <c r="B66" s="6"/>
      <c r="C66" s="6"/>
      <c r="D66" s="6"/>
      <c r="E66" s="6"/>
      <c r="F66" s="109"/>
      <c r="G66" s="21"/>
      <c r="H66" s="58"/>
      <c r="K66" s="75"/>
    </row>
    <row r="67" spans="1:21" ht="17" customHeight="1" x14ac:dyDescent="0.15">
      <c r="F67" s="109"/>
      <c r="J67" s="23"/>
      <c r="K67" s="23"/>
    </row>
    <row r="68" spans="1:21" ht="17" customHeight="1" x14ac:dyDescent="0.15">
      <c r="A68" s="67" t="s">
        <v>46</v>
      </c>
      <c r="B68" s="67"/>
      <c r="C68" s="67"/>
      <c r="D68" s="66">
        <f xml:space="preserve"> D54</f>
        <v>87651.199999999997</v>
      </c>
      <c r="F68" s="109"/>
      <c r="H68" s="109"/>
      <c r="I68" s="21"/>
      <c r="J68" s="23"/>
      <c r="K68" s="23"/>
    </row>
    <row r="69" spans="1:21" s="6" customFormat="1" ht="17" customHeight="1" x14ac:dyDescent="0.2">
      <c r="A69" s="67" t="s">
        <v>47</v>
      </c>
      <c r="B69" s="67"/>
      <c r="C69" s="67"/>
      <c r="D69" s="66">
        <f>SUM(B57:B61)+SUM(C57:C61)</f>
        <v>13690.079648539999</v>
      </c>
      <c r="E69"/>
      <c r="F69"/>
      <c r="G69"/>
      <c r="H69"/>
      <c r="I69"/>
      <c r="J69" s="23"/>
      <c r="K69" s="23"/>
      <c r="L69"/>
      <c r="M69"/>
      <c r="O69"/>
      <c r="P69"/>
      <c r="Q69"/>
      <c r="R69"/>
      <c r="S69"/>
      <c r="T69"/>
      <c r="U69"/>
    </row>
    <row r="70" spans="1:21" ht="17" customHeight="1" x14ac:dyDescent="0.2">
      <c r="A70" s="67" t="s">
        <v>48</v>
      </c>
      <c r="B70" s="67"/>
      <c r="C70" s="67"/>
      <c r="D70" s="66">
        <f>D68-D69</f>
        <v>73961.120351460006</v>
      </c>
      <c r="J70" s="23"/>
      <c r="K70" s="23"/>
      <c r="M70" s="2"/>
      <c r="O70" s="6"/>
      <c r="P70" s="6"/>
      <c r="Q70" s="6"/>
      <c r="R70" s="6"/>
      <c r="S70" s="6"/>
      <c r="T70" s="6"/>
      <c r="U70" s="6"/>
    </row>
    <row r="71" spans="1:21" ht="17" customHeight="1" x14ac:dyDescent="0.15">
      <c r="A71" s="67" t="s">
        <v>106</v>
      </c>
      <c r="B71" s="67"/>
      <c r="C71" s="67"/>
      <c r="D71" s="66">
        <f>C37</f>
        <v>16942.019428000003</v>
      </c>
      <c r="J71" s="23"/>
    </row>
    <row r="72" spans="1:21" ht="17" customHeight="1" x14ac:dyDescent="0.2">
      <c r="A72" s="67" t="s">
        <v>49</v>
      </c>
      <c r="B72" s="67"/>
      <c r="C72" s="67"/>
      <c r="D72" s="66">
        <f>D70+D71</f>
        <v>90903.139779460005</v>
      </c>
      <c r="L72" s="6"/>
      <c r="M72" s="6"/>
    </row>
    <row r="73" spans="1:21" ht="17" customHeight="1" x14ac:dyDescent="0.2">
      <c r="A73" s="67" t="s">
        <v>50</v>
      </c>
      <c r="B73" s="67"/>
      <c r="C73" s="67"/>
      <c r="D73" s="66">
        <f>C21</f>
        <v>90884.581426179255</v>
      </c>
      <c r="H73" s="6"/>
    </row>
    <row r="74" spans="1:21" ht="17" customHeight="1" x14ac:dyDescent="0.2">
      <c r="A74" s="67" t="s">
        <v>51</v>
      </c>
      <c r="B74" s="67"/>
      <c r="C74" s="67"/>
      <c r="D74" s="66">
        <f>D72-D73</f>
        <v>18.558353280750453</v>
      </c>
      <c r="F74" s="6"/>
      <c r="G74" s="6"/>
    </row>
    <row r="75" spans="1:21" ht="17" customHeight="1" x14ac:dyDescent="0.15">
      <c r="H75" s="8"/>
    </row>
    <row r="76" spans="1:21" ht="17" customHeight="1" x14ac:dyDescent="0.2">
      <c r="C76" s="6"/>
      <c r="E76" s="6"/>
      <c r="F76" s="8"/>
      <c r="G76" s="8"/>
    </row>
    <row r="77" spans="1:21" ht="17" customHeight="1" x14ac:dyDescent="0.15">
      <c r="B77" s="21"/>
      <c r="I77" s="8"/>
    </row>
    <row r="78" spans="1:21" ht="17" customHeight="1" x14ac:dyDescent="0.15">
      <c r="A78" s="8"/>
      <c r="B78" s="23"/>
      <c r="C78" s="23"/>
      <c r="D78" s="23"/>
      <c r="E78" s="8"/>
    </row>
    <row r="79" spans="1:21" ht="12.75" customHeight="1" x14ac:dyDescent="0.15">
      <c r="B79" s="21"/>
      <c r="C79" s="68"/>
      <c r="D79" s="21"/>
    </row>
    <row r="80" spans="1:21" ht="16" x14ac:dyDescent="0.2">
      <c r="A80" s="3"/>
      <c r="B80" s="21"/>
      <c r="C80" s="68"/>
      <c r="D80" s="21"/>
    </row>
    <row r="81" spans="2:6" x14ac:dyDescent="0.15">
      <c r="B81" s="21"/>
      <c r="C81" s="69"/>
      <c r="F81" s="7"/>
    </row>
    <row r="82" spans="2:6" x14ac:dyDescent="0.15">
      <c r="B82" s="21"/>
      <c r="C82" s="69"/>
      <c r="F82" s="7"/>
    </row>
    <row r="83" spans="2:6" x14ac:dyDescent="0.15">
      <c r="B83" s="7"/>
      <c r="C83" s="7"/>
      <c r="D83" s="7"/>
      <c r="E83" s="7"/>
      <c r="F83" s="7"/>
    </row>
    <row r="84" spans="2:6" x14ac:dyDescent="0.15">
      <c r="B84" s="7"/>
      <c r="C84" s="7"/>
      <c r="D84" s="7"/>
      <c r="E84" s="7"/>
      <c r="F84" s="70"/>
    </row>
    <row r="85" spans="2:6" x14ac:dyDescent="0.15">
      <c r="B85" s="7"/>
      <c r="C85" s="7"/>
      <c r="D85" s="7"/>
      <c r="E85" s="7"/>
      <c r="F85" s="70"/>
    </row>
    <row r="86" spans="2:6" x14ac:dyDescent="0.15">
      <c r="D86" s="37"/>
      <c r="E86" s="37"/>
      <c r="F86" s="70"/>
    </row>
    <row r="87" spans="2:6" x14ac:dyDescent="0.15">
      <c r="D87" s="37"/>
      <c r="E87" s="37"/>
      <c r="F87" s="70"/>
    </row>
    <row r="88" spans="2:6" x14ac:dyDescent="0.15">
      <c r="D88" s="37"/>
      <c r="E88" s="37"/>
    </row>
    <row r="89" spans="2:6" x14ac:dyDescent="0.15">
      <c r="D89" s="37"/>
      <c r="E89" s="37"/>
    </row>
    <row r="90" spans="2:6" x14ac:dyDescent="0.15">
      <c r="F90" s="7"/>
    </row>
    <row r="91" spans="2:6" x14ac:dyDescent="0.15">
      <c r="F91" s="7"/>
    </row>
    <row r="92" spans="2:6" x14ac:dyDescent="0.15">
      <c r="B92" s="7"/>
      <c r="C92" s="7"/>
      <c r="D92" s="7"/>
      <c r="E92" s="7"/>
      <c r="F92" s="7"/>
    </row>
    <row r="93" spans="2:6" x14ac:dyDescent="0.15">
      <c r="B93" s="7"/>
      <c r="C93" s="7"/>
      <c r="D93" s="7"/>
      <c r="E93" s="7"/>
      <c r="F93" s="70"/>
    </row>
    <row r="94" spans="2:6" x14ac:dyDescent="0.15">
      <c r="B94" s="7"/>
      <c r="C94" s="7"/>
      <c r="D94" s="7"/>
      <c r="E94" s="7"/>
      <c r="F94" s="70"/>
    </row>
    <row r="95" spans="2:6" x14ac:dyDescent="0.15">
      <c r="D95" s="37"/>
      <c r="E95" s="37"/>
      <c r="F95" s="70"/>
    </row>
    <row r="96" spans="2:6" x14ac:dyDescent="0.15">
      <c r="D96" s="37"/>
      <c r="E96" s="37"/>
      <c r="F96" s="70"/>
    </row>
    <row r="97" spans="2:6" x14ac:dyDescent="0.15">
      <c r="D97" s="37"/>
      <c r="E97" s="37"/>
    </row>
    <row r="98" spans="2:6" x14ac:dyDescent="0.15">
      <c r="D98" s="37"/>
      <c r="E98" s="37"/>
    </row>
    <row r="99" spans="2:6" x14ac:dyDescent="0.15">
      <c r="B99" s="21"/>
      <c r="C99" s="68"/>
    </row>
    <row r="100" spans="2:6" x14ac:dyDescent="0.15">
      <c r="B100" s="21"/>
      <c r="C100" s="21"/>
      <c r="D100" s="21"/>
    </row>
    <row r="101" spans="2:6" x14ac:dyDescent="0.15">
      <c r="B101" s="21"/>
      <c r="C101" s="69"/>
      <c r="F101" s="7"/>
    </row>
    <row r="102" spans="2:6" x14ac:dyDescent="0.15">
      <c r="B102" s="21"/>
      <c r="C102" s="69"/>
      <c r="F102" s="7"/>
    </row>
    <row r="103" spans="2:6" x14ac:dyDescent="0.15">
      <c r="B103" s="7"/>
      <c r="C103" s="7"/>
      <c r="D103" s="7"/>
      <c r="E103" s="7"/>
      <c r="F103" s="7"/>
    </row>
    <row r="104" spans="2:6" x14ac:dyDescent="0.15">
      <c r="B104" s="7"/>
      <c r="C104" s="7"/>
      <c r="D104" s="7"/>
      <c r="E104" s="7"/>
      <c r="F104" s="70"/>
    </row>
    <row r="105" spans="2:6" x14ac:dyDescent="0.15">
      <c r="B105" s="7"/>
      <c r="C105" s="7"/>
      <c r="D105" s="7"/>
      <c r="E105" s="7"/>
      <c r="F105" s="70"/>
    </row>
    <row r="106" spans="2:6" x14ac:dyDescent="0.15">
      <c r="D106" s="37"/>
      <c r="E106" s="37"/>
      <c r="F106" s="70"/>
    </row>
    <row r="107" spans="2:6" x14ac:dyDescent="0.15">
      <c r="D107" s="37"/>
      <c r="E107" s="37"/>
      <c r="F107" s="70"/>
    </row>
    <row r="108" spans="2:6" x14ac:dyDescent="0.15">
      <c r="D108" s="37"/>
      <c r="E108" s="37"/>
    </row>
    <row r="109" spans="2:6" x14ac:dyDescent="0.15">
      <c r="D109" s="37"/>
      <c r="E109" s="37"/>
    </row>
    <row r="110" spans="2:6" x14ac:dyDescent="0.15">
      <c r="F110" s="7"/>
    </row>
    <row r="111" spans="2:6" x14ac:dyDescent="0.15">
      <c r="F111" s="7"/>
    </row>
    <row r="112" spans="2:6" x14ac:dyDescent="0.15">
      <c r="B112" s="7"/>
      <c r="C112" s="7"/>
      <c r="D112" s="7"/>
      <c r="E112" s="7"/>
      <c r="F112" s="7"/>
    </row>
    <row r="113" spans="2:6" x14ac:dyDescent="0.15">
      <c r="B113" s="7"/>
      <c r="C113" s="7"/>
      <c r="D113" s="7"/>
      <c r="E113" s="7"/>
      <c r="F113" s="70"/>
    </row>
    <row r="114" spans="2:6" x14ac:dyDescent="0.15">
      <c r="B114" s="7"/>
      <c r="C114" s="7"/>
      <c r="D114" s="7"/>
      <c r="E114" s="7"/>
      <c r="F114" s="70"/>
    </row>
    <row r="115" spans="2:6" x14ac:dyDescent="0.15">
      <c r="D115" s="37"/>
      <c r="E115" s="37"/>
      <c r="F115" s="70"/>
    </row>
    <row r="116" spans="2:6" x14ac:dyDescent="0.15">
      <c r="D116" s="37"/>
      <c r="E116" s="37"/>
      <c r="F116" s="70"/>
    </row>
    <row r="117" spans="2:6" x14ac:dyDescent="0.15">
      <c r="D117" s="37"/>
      <c r="E117" s="37"/>
    </row>
    <row r="118" spans="2:6" x14ac:dyDescent="0.15">
      <c r="D118" s="37"/>
      <c r="E118" s="37"/>
    </row>
  </sheetData>
  <customSheetViews>
    <customSheetView guid="{AECF95C1-27BC-F14B-8EDE-44059DAFEC30}" scale="125" topLeftCell="A42">
      <selection activeCell="I53" sqref="I53"/>
      <pageMargins left="0.7" right="0.7" top="0.75" bottom="0.75" header="0.3" footer="0.3"/>
      <printOptions gridLines="1"/>
      <pageSetup scale="41" orientation="portrait"/>
    </customSheetView>
  </customSheetViews>
  <mergeCells count="3">
    <mergeCell ref="F53:G53"/>
    <mergeCell ref="H53:I53"/>
    <mergeCell ref="F52:I52"/>
  </mergeCells>
  <phoneticPr fontId="8" type="noConversion"/>
  <printOptions gridLines="1"/>
  <pageMargins left="0.75" right="0.5" top="0.5" bottom="0.5" header="0.5" footer="0.5"/>
  <pageSetup scale="41" orientation="portrait"/>
  <colBreaks count="1" manualBreakCount="1">
    <brk id="15"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125" zoomScaleNormal="125" zoomScalePageLayoutView="125" workbookViewId="0">
      <selection activeCell="A2" sqref="A2"/>
    </sheetView>
  </sheetViews>
  <sheetFormatPr baseColWidth="10" defaultColWidth="8.83203125" defaultRowHeight="17" customHeight="1" x14ac:dyDescent="0.15"/>
  <cols>
    <col min="1" max="1" width="63.83203125" style="67" customWidth="1"/>
    <col min="2" max="2" width="14.33203125" style="81" customWidth="1"/>
    <col min="3" max="3" width="40.5" style="67" customWidth="1"/>
    <col min="4" max="4" width="11.6640625" style="67" customWidth="1"/>
    <col min="5" max="5" width="13.5" style="67" customWidth="1"/>
    <col min="6" max="6" width="12.33203125" style="67" bestFit="1" customWidth="1"/>
    <col min="7" max="16384" width="8.83203125" style="67"/>
  </cols>
  <sheetData>
    <row r="1" spans="1:10" customFormat="1" ht="17" customHeight="1" x14ac:dyDescent="0.2">
      <c r="A1" s="1" t="s">
        <v>137</v>
      </c>
      <c r="B1" s="120"/>
      <c r="C1" s="2"/>
      <c r="D1" s="2"/>
      <c r="E1" s="2"/>
      <c r="F1" s="2"/>
      <c r="G1" s="2"/>
      <c r="H1" s="2"/>
      <c r="I1" s="2"/>
    </row>
    <row r="2" spans="1:10" s="3" customFormat="1" ht="17" customHeight="1" x14ac:dyDescent="0.2">
      <c r="A2" s="3" t="s">
        <v>0</v>
      </c>
      <c r="B2" s="121"/>
      <c r="D2" s="4"/>
      <c r="E2" s="5"/>
    </row>
    <row r="3" spans="1:10" customFormat="1" ht="17" customHeight="1" x14ac:dyDescent="0.2">
      <c r="A3" s="2" t="s">
        <v>1</v>
      </c>
      <c r="B3" s="122"/>
      <c r="C3" s="3"/>
      <c r="D3" s="4"/>
      <c r="E3" s="5"/>
      <c r="F3" s="3"/>
      <c r="G3" s="3"/>
      <c r="H3" s="3"/>
      <c r="I3" s="3"/>
      <c r="J3" s="3"/>
    </row>
    <row r="4" spans="1:10" customFormat="1" ht="17" customHeight="1" x14ac:dyDescent="0.2">
      <c r="A4" s="2"/>
      <c r="B4" s="122"/>
      <c r="C4" s="3"/>
      <c r="D4" s="4"/>
      <c r="E4" s="5"/>
      <c r="F4" s="3"/>
      <c r="G4" s="3"/>
      <c r="H4" s="3"/>
      <c r="I4" s="3"/>
      <c r="J4" s="3"/>
    </row>
    <row r="5" spans="1:10" customFormat="1" ht="17" customHeight="1" x14ac:dyDescent="0.2">
      <c r="A5" s="76" t="s">
        <v>58</v>
      </c>
      <c r="B5" s="122"/>
      <c r="C5" s="3"/>
      <c r="D5" s="4"/>
      <c r="E5" s="5"/>
      <c r="F5" s="3"/>
      <c r="G5" s="3"/>
      <c r="H5" s="3"/>
      <c r="I5" s="3"/>
      <c r="J5" s="3"/>
    </row>
    <row r="6" spans="1:10" ht="17" customHeight="1" x14ac:dyDescent="0.15">
      <c r="A6" s="67" t="s">
        <v>129</v>
      </c>
      <c r="B6" s="108">
        <f>309+378+222+225</f>
        <v>1134</v>
      </c>
    </row>
    <row r="7" spans="1:10" ht="17" customHeight="1" x14ac:dyDescent="0.15">
      <c r="A7" s="67" t="s">
        <v>59</v>
      </c>
      <c r="B7" s="123">
        <v>1263</v>
      </c>
    </row>
    <row r="8" spans="1:10" ht="56" x14ac:dyDescent="0.15">
      <c r="A8" s="119" t="s">
        <v>95</v>
      </c>
      <c r="B8" s="124">
        <v>1240.95</v>
      </c>
    </row>
    <row r="9" spans="1:10" ht="17" customHeight="1" x14ac:dyDescent="0.15">
      <c r="A9" s="76" t="s">
        <v>60</v>
      </c>
      <c r="B9" s="125">
        <f>(B6/B7)*B8</f>
        <v>1114.2021377672208</v>
      </c>
      <c r="E9"/>
    </row>
    <row r="10" spans="1:10" ht="17" customHeight="1" x14ac:dyDescent="0.15">
      <c r="B10" s="123"/>
      <c r="E10" s="79"/>
      <c r="F10" s="79"/>
    </row>
    <row r="11" spans="1:10" ht="17" customHeight="1" x14ac:dyDescent="0.15">
      <c r="A11" s="76" t="s">
        <v>86</v>
      </c>
      <c r="B11" s="123"/>
    </row>
    <row r="12" spans="1:10" ht="17" customHeight="1" x14ac:dyDescent="0.15">
      <c r="A12" s="67" t="s">
        <v>115</v>
      </c>
      <c r="B12" s="123">
        <v>2086</v>
      </c>
    </row>
    <row r="13" spans="1:10" ht="17" customHeight="1" x14ac:dyDescent="0.15">
      <c r="A13" s="67" t="s">
        <v>114</v>
      </c>
      <c r="B13" s="123">
        <v>106.2</v>
      </c>
    </row>
    <row r="14" spans="1:10" ht="17" customHeight="1" x14ac:dyDescent="0.15">
      <c r="A14" s="67" t="s">
        <v>112</v>
      </c>
      <c r="B14" s="123">
        <v>106.2</v>
      </c>
    </row>
    <row r="15" spans="1:10" ht="17" customHeight="1" x14ac:dyDescent="0.15">
      <c r="A15" s="76" t="s">
        <v>61</v>
      </c>
      <c r="B15" s="126">
        <f>B12*B14/B13</f>
        <v>2086</v>
      </c>
    </row>
    <row r="16" spans="1:10" ht="17" customHeight="1" x14ac:dyDescent="0.15">
      <c r="B16" s="123"/>
      <c r="C16" s="81"/>
      <c r="D16" s="81"/>
    </row>
    <row r="17" spans="1:8" ht="17" customHeight="1" x14ac:dyDescent="0.15">
      <c r="A17" s="76" t="s">
        <v>130</v>
      </c>
      <c r="B17" s="123"/>
      <c r="C17" s="81"/>
      <c r="D17" s="81"/>
      <c r="E17" s="83"/>
      <c r="F17" s="143"/>
      <c r="G17" s="77"/>
      <c r="H17" s="77"/>
    </row>
    <row r="18" spans="1:8" ht="17" customHeight="1" x14ac:dyDescent="0.2">
      <c r="A18" s="78" t="s">
        <v>120</v>
      </c>
      <c r="B18" s="124">
        <v>1952</v>
      </c>
      <c r="C18" s="81"/>
      <c r="D18" s="145"/>
      <c r="E18" s="146"/>
      <c r="F18" s="77"/>
      <c r="G18" s="77"/>
      <c r="H18" s="77"/>
    </row>
    <row r="19" spans="1:8" ht="28" x14ac:dyDescent="0.15">
      <c r="A19" s="106" t="s">
        <v>119</v>
      </c>
      <c r="B19" s="141">
        <v>0.12</v>
      </c>
      <c r="C19" s="81"/>
      <c r="D19" s="81"/>
      <c r="E19"/>
      <c r="F19" s="143"/>
      <c r="G19" s="77"/>
      <c r="H19" s="77"/>
    </row>
    <row r="20" spans="1:8" ht="17" customHeight="1" x14ac:dyDescent="0.15">
      <c r="A20" s="106" t="s">
        <v>121</v>
      </c>
      <c r="B20" s="124">
        <f>B18*(1+B19)</f>
        <v>2186.2400000000002</v>
      </c>
      <c r="D20" s="81"/>
      <c r="E20"/>
      <c r="F20" s="77"/>
      <c r="G20" s="77"/>
      <c r="H20" s="77"/>
    </row>
    <row r="21" spans="1:8" ht="16" x14ac:dyDescent="0.2">
      <c r="A21" s="67" t="s">
        <v>104</v>
      </c>
      <c r="B21" s="123">
        <v>221</v>
      </c>
      <c r="E21" s="146"/>
      <c r="F21" s="77"/>
      <c r="G21" s="77"/>
      <c r="H21" s="77"/>
    </row>
    <row r="22" spans="1:8" ht="17" customHeight="1" x14ac:dyDescent="0.2">
      <c r="A22" s="67" t="s">
        <v>105</v>
      </c>
      <c r="B22" s="123">
        <v>159.6</v>
      </c>
      <c r="C22" s="81"/>
      <c r="E22" s="146"/>
      <c r="F22" s="83"/>
      <c r="G22" s="84"/>
      <c r="H22" s="77"/>
    </row>
    <row r="23" spans="1:8" ht="17" customHeight="1" x14ac:dyDescent="0.2">
      <c r="A23" s="67" t="s">
        <v>111</v>
      </c>
      <c r="B23" s="123">
        <v>184.8</v>
      </c>
      <c r="C23" s="81"/>
      <c r="D23" s="81"/>
      <c r="E23" s="146"/>
      <c r="F23" s="77"/>
      <c r="G23" s="84"/>
      <c r="H23" s="77"/>
    </row>
    <row r="24" spans="1:8" ht="13" x14ac:dyDescent="0.15">
      <c r="A24" s="78" t="s">
        <v>68</v>
      </c>
      <c r="B24" s="124">
        <v>41.58</v>
      </c>
      <c r="D24" s="81"/>
      <c r="E24" s="104"/>
      <c r="F24" s="83"/>
      <c r="G24" s="84"/>
      <c r="H24" s="77"/>
    </row>
    <row r="25" spans="1:8" ht="17" customHeight="1" x14ac:dyDescent="0.15">
      <c r="A25" s="76" t="s">
        <v>131</v>
      </c>
      <c r="B25" s="126">
        <f>B20+B21*(B23/B22)+B24</f>
        <v>2483.7147368421056</v>
      </c>
      <c r="C25" s="81"/>
      <c r="D25" s="81"/>
      <c r="E25" s="84"/>
      <c r="F25" s="77"/>
      <c r="G25" s="84"/>
      <c r="H25" s="77"/>
    </row>
    <row r="26" spans="1:8" ht="17" customHeight="1" x14ac:dyDescent="0.15">
      <c r="B26" s="123"/>
      <c r="C26" s="81"/>
      <c r="D26" s="81"/>
      <c r="E26" s="84"/>
      <c r="F26" s="77"/>
      <c r="G26" s="84"/>
      <c r="H26" s="77"/>
    </row>
    <row r="27" spans="1:8" ht="13" x14ac:dyDescent="0.15">
      <c r="A27" s="76" t="s">
        <v>133</v>
      </c>
      <c r="B27" s="108"/>
      <c r="C27" s="81"/>
      <c r="E27" s="105"/>
      <c r="F27" s="77"/>
      <c r="G27" s="84"/>
      <c r="H27" s="77"/>
    </row>
    <row r="28" spans="1:8" ht="28" x14ac:dyDescent="0.15">
      <c r="A28" s="106" t="s">
        <v>128</v>
      </c>
      <c r="B28" s="124">
        <f>2*51.25*1.12</f>
        <v>114.80000000000001</v>
      </c>
      <c r="E28" s="83"/>
      <c r="F28" s="77"/>
      <c r="G28" s="77"/>
      <c r="H28" s="77"/>
    </row>
    <row r="29" spans="1:8" ht="13" x14ac:dyDescent="0.15">
      <c r="A29" s="78" t="s">
        <v>107</v>
      </c>
      <c r="B29" s="124">
        <f>(67.95+4.99)*1.12</f>
        <v>81.692800000000005</v>
      </c>
      <c r="D29" s="81"/>
      <c r="E29" s="104"/>
      <c r="F29" s="83"/>
      <c r="G29" s="84"/>
      <c r="H29" s="77"/>
    </row>
    <row r="30" spans="1:8" ht="17" customHeight="1" x14ac:dyDescent="0.15">
      <c r="A30" s="76" t="s">
        <v>132</v>
      </c>
      <c r="B30" s="126">
        <f>B28+B29</f>
        <v>196.49280000000002</v>
      </c>
      <c r="D30" s="81"/>
      <c r="E30" s="104"/>
      <c r="F30" s="83"/>
      <c r="G30" s="77"/>
      <c r="H30" s="77"/>
    </row>
    <row r="31" spans="1:8" ht="17" customHeight="1" x14ac:dyDescent="0.15">
      <c r="B31" s="123"/>
      <c r="D31" s="81"/>
      <c r="E31" s="105"/>
      <c r="F31" s="84"/>
      <c r="G31" s="81"/>
    </row>
    <row r="32" spans="1:8" ht="17" customHeight="1" x14ac:dyDescent="0.15">
      <c r="A32" s="76" t="s">
        <v>62</v>
      </c>
      <c r="B32" s="123"/>
      <c r="D32" s="81"/>
      <c r="E32" s="105"/>
      <c r="F32" s="84"/>
      <c r="G32" s="81"/>
    </row>
    <row r="33" spans="1:8" ht="17" customHeight="1" x14ac:dyDescent="0.15">
      <c r="A33" s="67" t="s">
        <v>117</v>
      </c>
      <c r="B33" s="123">
        <v>4968</v>
      </c>
      <c r="D33" s="81"/>
      <c r="E33" s="81"/>
      <c r="F33" s="84"/>
      <c r="G33" s="81"/>
    </row>
    <row r="34" spans="1:8" ht="17" customHeight="1" x14ac:dyDescent="0.15">
      <c r="A34" s="67" t="s">
        <v>116</v>
      </c>
      <c r="B34" s="123">
        <v>164.8</v>
      </c>
      <c r="D34" s="81"/>
      <c r="E34" s="81"/>
      <c r="F34" s="84"/>
      <c r="G34" s="81"/>
    </row>
    <row r="35" spans="1:8" ht="17" customHeight="1" x14ac:dyDescent="0.15">
      <c r="A35" s="67" t="s">
        <v>113</v>
      </c>
      <c r="B35" s="123">
        <v>187.6</v>
      </c>
      <c r="C35" s="129"/>
      <c r="D35" s="81"/>
      <c r="E35" s="139"/>
      <c r="F35" s="81"/>
    </row>
    <row r="36" spans="1:8" ht="17" customHeight="1" x14ac:dyDescent="0.15">
      <c r="A36" s="78" t="s">
        <v>87</v>
      </c>
      <c r="B36" s="124">
        <f>AVERAGE(134,137.1)*4</f>
        <v>542.20000000000005</v>
      </c>
      <c r="C36" s="130"/>
      <c r="D36" s="123"/>
      <c r="E36" s="81"/>
    </row>
    <row r="37" spans="1:8" ht="17" customHeight="1" x14ac:dyDescent="0.15">
      <c r="A37" s="78" t="s">
        <v>69</v>
      </c>
      <c r="B37" s="124">
        <f>AVERAGE(43.35,44.2)*8</f>
        <v>350.20000000000005</v>
      </c>
      <c r="C37" s="130"/>
      <c r="D37" s="123"/>
      <c r="E37" s="99"/>
      <c r="G37" s="101"/>
    </row>
    <row r="38" spans="1:8" ht="17" customHeight="1" x14ac:dyDescent="0.15">
      <c r="A38" s="76" t="s">
        <v>63</v>
      </c>
      <c r="B38" s="126">
        <f>(B33*(B35/B34))+B36+B37</f>
        <v>6547.7203883495131</v>
      </c>
      <c r="C38" s="81"/>
      <c r="D38" s="81"/>
    </row>
    <row r="39" spans="1:8" ht="17" customHeight="1" x14ac:dyDescent="0.15">
      <c r="B39" s="123"/>
      <c r="D39" s="81"/>
      <c r="E39" s="139"/>
    </row>
    <row r="40" spans="1:8" ht="17" customHeight="1" x14ac:dyDescent="0.15">
      <c r="A40" s="76" t="s">
        <v>109</v>
      </c>
      <c r="B40" s="123"/>
    </row>
    <row r="41" spans="1:8" ht="17" customHeight="1" x14ac:dyDescent="0.15">
      <c r="A41" s="67" t="s">
        <v>64</v>
      </c>
      <c r="B41" s="123"/>
    </row>
    <row r="42" spans="1:8" ht="17" customHeight="1" x14ac:dyDescent="0.15">
      <c r="A42" s="67" t="s">
        <v>65</v>
      </c>
      <c r="B42" s="126">
        <f>0.754*(B9*12+B15)</f>
        <v>11654.144942517814</v>
      </c>
      <c r="E42" s="80"/>
    </row>
    <row r="43" spans="1:8" ht="17" customHeight="1" x14ac:dyDescent="0.15">
      <c r="B43" s="123"/>
      <c r="C43"/>
      <c r="E43"/>
    </row>
    <row r="44" spans="1:8" ht="17" customHeight="1" x14ac:dyDescent="0.15">
      <c r="A44" s="76" t="s">
        <v>13</v>
      </c>
      <c r="B44" s="123"/>
      <c r="C44" s="9"/>
      <c r="D44" s="140"/>
      <c r="E44"/>
    </row>
    <row r="45" spans="1:8" ht="28" x14ac:dyDescent="0.15">
      <c r="A45" s="106" t="s">
        <v>88</v>
      </c>
      <c r="B45" s="124">
        <f>884*12</f>
        <v>10608</v>
      </c>
      <c r="C45"/>
      <c r="E45" s="100"/>
      <c r="G45" s="84"/>
      <c r="H45" s="81"/>
    </row>
    <row r="46" spans="1:8" ht="17" customHeight="1" x14ac:dyDescent="0.15">
      <c r="A46" s="78" t="s">
        <v>101</v>
      </c>
      <c r="B46" s="124">
        <f>500*10</f>
        <v>5000</v>
      </c>
      <c r="C46"/>
      <c r="D46" s="81"/>
      <c r="E46" s="100"/>
      <c r="G46" s="77"/>
      <c r="H46" s="81"/>
    </row>
    <row r="47" spans="1:8" ht="28" x14ac:dyDescent="0.15">
      <c r="A47" s="106" t="s">
        <v>92</v>
      </c>
      <c r="B47" s="124">
        <v>0</v>
      </c>
      <c r="C47" s="2"/>
      <c r="D47" s="81"/>
      <c r="E47" s="100"/>
      <c r="F47" s="82"/>
      <c r="G47" s="81"/>
      <c r="H47" s="81"/>
    </row>
    <row r="48" spans="1:8" ht="17" customHeight="1" x14ac:dyDescent="0.15">
      <c r="A48" s="106" t="s">
        <v>71</v>
      </c>
      <c r="B48" s="124">
        <f>235*3</f>
        <v>705</v>
      </c>
      <c r="C48" s="142"/>
      <c r="D48" s="81"/>
      <c r="E48" s="100"/>
      <c r="F48" s="82"/>
      <c r="G48" s="81"/>
      <c r="H48" s="81"/>
    </row>
    <row r="49" spans="1:9" ht="13" x14ac:dyDescent="0.15">
      <c r="A49" s="78" t="s">
        <v>70</v>
      </c>
      <c r="B49" s="124">
        <f>235*6</f>
        <v>1410</v>
      </c>
      <c r="C49" s="122"/>
      <c r="D49" s="81"/>
      <c r="E49" s="100"/>
      <c r="F49" s="82"/>
      <c r="G49" s="81"/>
      <c r="H49" s="81"/>
    </row>
    <row r="50" spans="1:9" ht="17" customHeight="1" x14ac:dyDescent="0.15">
      <c r="A50" s="76" t="s">
        <v>66</v>
      </c>
      <c r="B50" s="126">
        <f>SUM(B45:B49)</f>
        <v>17723</v>
      </c>
      <c r="C50" s="2"/>
      <c r="D50" s="81"/>
      <c r="E50" s="81"/>
      <c r="F50" s="82"/>
      <c r="G50" s="81"/>
      <c r="H50" s="81"/>
      <c r="I50" s="82"/>
    </row>
    <row r="51" spans="1:9" ht="17" customHeight="1" x14ac:dyDescent="0.15">
      <c r="B51" s="123"/>
      <c r="C51" s="2"/>
      <c r="D51" s="81"/>
      <c r="E51" s="81"/>
      <c r="F51" s="82"/>
      <c r="H51" s="81"/>
    </row>
    <row r="52" spans="1:9" ht="17" customHeight="1" x14ac:dyDescent="0.15">
      <c r="A52" s="76" t="s">
        <v>97</v>
      </c>
      <c r="B52" s="123"/>
      <c r="C52"/>
      <c r="D52" s="81"/>
      <c r="E52" s="81"/>
      <c r="F52" s="82"/>
    </row>
    <row r="53" spans="1:9" ht="17" customHeight="1" x14ac:dyDescent="0.15">
      <c r="A53" s="67" t="s">
        <v>89</v>
      </c>
      <c r="B53" s="125">
        <v>225</v>
      </c>
      <c r="C53"/>
      <c r="E53" s="81"/>
    </row>
    <row r="54" spans="1:9" ht="17" customHeight="1" x14ac:dyDescent="0.15">
      <c r="B54" s="123"/>
      <c r="C54" s="138"/>
    </row>
    <row r="55" spans="1:9" ht="17" customHeight="1" x14ac:dyDescent="0.15">
      <c r="A55" s="76" t="s">
        <v>14</v>
      </c>
      <c r="B55" s="123"/>
      <c r="E55" s="76"/>
      <c r="F55" s="76"/>
      <c r="G55" s="76"/>
    </row>
    <row r="56" spans="1:9" ht="17" customHeight="1" x14ac:dyDescent="0.15">
      <c r="A56" s="78" t="s">
        <v>73</v>
      </c>
      <c r="B56" s="124">
        <f>AVERAGE(336.45,403.05)</f>
        <v>369.75</v>
      </c>
      <c r="D56" s="76"/>
    </row>
    <row r="57" spans="1:9" ht="17" customHeight="1" x14ac:dyDescent="0.15">
      <c r="A57" s="78" t="s">
        <v>72</v>
      </c>
      <c r="B57" s="124">
        <v>115.05</v>
      </c>
      <c r="C57" s="92"/>
    </row>
    <row r="58" spans="1:9" ht="17" customHeight="1" x14ac:dyDescent="0.15">
      <c r="A58" s="78" t="s">
        <v>110</v>
      </c>
      <c r="B58" s="124">
        <v>150</v>
      </c>
      <c r="D58" s="81"/>
    </row>
    <row r="59" spans="1:9" ht="17" customHeight="1" x14ac:dyDescent="0.15">
      <c r="A59" s="76" t="s">
        <v>67</v>
      </c>
      <c r="B59" s="126">
        <f>(B56*2)+(B57*2)+(B58*2)</f>
        <v>1269.5999999999999</v>
      </c>
      <c r="C59" s="92"/>
    </row>
    <row r="61" spans="1:9" ht="17" customHeight="1" x14ac:dyDescent="0.15">
      <c r="C61" s="92"/>
    </row>
  </sheetData>
  <customSheetViews>
    <customSheetView guid="{AECF95C1-27BC-F14B-8EDE-44059DAFEC30}" scale="125">
      <selection activeCell="C41" sqref="C41"/>
      <pageMargins left="0.7" right="0.7" top="0.75" bottom="0.75" header="0.3" footer="0.3"/>
      <printOptions gridLines="1"/>
      <pageSetup orientation="portrait"/>
    </customSheetView>
  </customSheetViews>
  <phoneticPr fontId="8" type="noConversion"/>
  <printOptions gridLines="1"/>
  <pageMargins left="0.75" right="0.5" top="0.5" bottom="0.5" header="0.5" footer="0.5"/>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First time LW calculation</vt:lpstr>
      <vt:lpstr>Using last year's LW income</vt:lpstr>
      <vt:lpstr>Family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Iglika Ivanova</dc:creator>
  <cp:lastModifiedBy>Iglika Ivanova</cp:lastModifiedBy>
  <cp:lastPrinted>2017-02-01T00:03:53Z</cp:lastPrinted>
  <dcterms:created xsi:type="dcterms:W3CDTF">2015-03-18T23:56:01Z</dcterms:created>
  <dcterms:modified xsi:type="dcterms:W3CDTF">2022-11-16T19:19:51Z</dcterms:modified>
</cp:coreProperties>
</file>