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saulnier\Dropbox\CCPA 2007\Research\Research Reports\living wage\Halifax 2015\"/>
    </mc:Choice>
  </mc:AlternateContent>
  <bookViews>
    <workbookView xWindow="0" yWindow="0" windowWidth="28725" windowHeight="17565"/>
  </bookViews>
  <sheets>
    <sheet name="LW Halifax" sheetId="1" r:id="rId1"/>
    <sheet name="MBM" sheetId="7" r:id="rId2"/>
    <sheet name="CPI" sheetId="9" r:id="rId3"/>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M20" i="1" l="1"/>
  <c r="B9" i="1"/>
  <c r="B10" i="1"/>
  <c r="G11" i="1"/>
  <c r="B11" i="1"/>
  <c r="G15" i="1"/>
  <c r="G16" i="1"/>
  <c r="G17" i="1"/>
  <c r="G18" i="1"/>
  <c r="G19" i="1"/>
  <c r="B12" i="1"/>
  <c r="G27" i="1"/>
  <c r="G28" i="1"/>
  <c r="G29" i="1"/>
  <c r="C13" i="1"/>
  <c r="B13" i="1"/>
  <c r="N9" i="1"/>
  <c r="N10" i="1"/>
  <c r="N11" i="1"/>
  <c r="N12" i="1"/>
  <c r="C14" i="1"/>
  <c r="B14" i="1"/>
  <c r="B15" i="1"/>
  <c r="C42" i="1"/>
  <c r="C16" i="1"/>
  <c r="B16" i="1"/>
  <c r="J10" i="1"/>
  <c r="J11" i="1"/>
  <c r="C17" i="1"/>
  <c r="B17" i="1"/>
  <c r="C9" i="1"/>
  <c r="G22" i="1"/>
  <c r="C18" i="1"/>
  <c r="B18" i="1"/>
  <c r="C19" i="1"/>
  <c r="B19" i="1"/>
  <c r="B20" i="1"/>
  <c r="O10" i="1"/>
  <c r="O12" i="1"/>
  <c r="C27" i="1"/>
  <c r="B44" i="1"/>
  <c r="C15" i="1"/>
  <c r="L9" i="9"/>
  <c r="L8" i="9"/>
  <c r="D29" i="7"/>
  <c r="B43" i="1"/>
  <c r="B45" i="1"/>
  <c r="C26" i="1"/>
  <c r="J15" i="1"/>
  <c r="J16" i="1"/>
  <c r="J17" i="1"/>
  <c r="J21" i="1"/>
  <c r="J22" i="1"/>
  <c r="D41" i="1"/>
  <c r="J18" i="1"/>
  <c r="J23" i="1"/>
  <c r="B46" i="1"/>
  <c r="C43" i="1"/>
  <c r="C45" i="1"/>
  <c r="B47" i="1"/>
  <c r="C11" i="1"/>
  <c r="G23" i="1"/>
  <c r="B49" i="1"/>
  <c r="B48" i="1"/>
  <c r="D45" i="1"/>
  <c r="B50" i="1"/>
  <c r="D50" i="1"/>
  <c r="C12" i="1"/>
  <c r="C47" i="1"/>
  <c r="D47" i="1"/>
  <c r="C25" i="1"/>
  <c r="B25" i="1"/>
  <c r="B31" i="1"/>
  <c r="D43" i="1"/>
  <c r="D55" i="1"/>
  <c r="C46" i="1"/>
  <c r="D46" i="1"/>
  <c r="C49" i="1"/>
  <c r="C48" i="1"/>
  <c r="C20" i="1"/>
  <c r="D9" i="1"/>
  <c r="C31" i="1"/>
  <c r="D58" i="1"/>
  <c r="D49" i="1"/>
  <c r="B51" i="1"/>
  <c r="B52" i="1"/>
  <c r="D56" i="1"/>
  <c r="D57" i="1"/>
  <c r="D48" i="1"/>
  <c r="D12" i="1"/>
  <c r="D18" i="1"/>
  <c r="D15" i="1"/>
  <c r="D13" i="1"/>
  <c r="D17" i="1"/>
  <c r="D16" i="1"/>
  <c r="D14" i="1"/>
  <c r="D60" i="1"/>
  <c r="D10" i="1"/>
  <c r="D11" i="1"/>
  <c r="D20" i="1"/>
  <c r="C36" i="1"/>
  <c r="D19" i="1"/>
  <c r="C51" i="1"/>
  <c r="C52" i="1"/>
  <c r="D52" i="1"/>
  <c r="D59" i="1"/>
  <c r="D61" i="1"/>
  <c r="D51" i="1"/>
  <c r="C35" i="1"/>
  <c r="C37" i="1"/>
</calcChain>
</file>

<file path=xl/comments1.xml><?xml version="1.0" encoding="utf-8"?>
<comments xmlns="http://schemas.openxmlformats.org/spreadsheetml/2006/main">
  <authors>
    <author>Catherine Partridge</author>
    <author>CCPANS</author>
  </authors>
  <commentList>
    <comment ref="A26" authorId="0" shapeId="0">
      <text>
        <r>
          <rPr>
            <b/>
            <sz val="9"/>
            <color indexed="81"/>
            <rFont val="Tahoma"/>
            <family val="2"/>
          </rPr>
          <t>Catherine Partridge:</t>
        </r>
        <r>
          <rPr>
            <sz val="9"/>
            <color indexed="81"/>
            <rFont val="Tahoma"/>
            <family val="2"/>
          </rPr>
          <t xml:space="preserve">
family net income too high</t>
        </r>
      </text>
    </comment>
    <comment ref="A28" authorId="0" shapeId="0">
      <text>
        <r>
          <rPr>
            <b/>
            <sz val="9"/>
            <color indexed="81"/>
            <rFont val="Tahoma"/>
            <family val="2"/>
          </rPr>
          <t>Catherine Partridge:</t>
        </r>
        <r>
          <rPr>
            <sz val="9"/>
            <color indexed="81"/>
            <rFont val="Tahoma"/>
            <family val="2"/>
          </rPr>
          <t xml:space="preserve">
Family net income too high</t>
        </r>
      </text>
    </comment>
    <comment ref="A30" authorId="1" shapeId="0">
      <text>
        <r>
          <rPr>
            <b/>
            <sz val="9"/>
            <color indexed="81"/>
            <rFont val="Tahoma"/>
            <family val="2"/>
          </rPr>
          <t>CCPANS:</t>
        </r>
        <r>
          <rPr>
            <sz val="9"/>
            <color indexed="81"/>
            <rFont val="Tahoma"/>
            <family val="2"/>
          </rPr>
          <t xml:space="preserve">
waitllist therefore not included
</t>
        </r>
      </text>
    </comment>
  </commentList>
</comments>
</file>

<file path=xl/sharedStrings.xml><?xml version="1.0" encoding="utf-8"?>
<sst xmlns="http://schemas.openxmlformats.org/spreadsheetml/2006/main" count="264" uniqueCount="158">
  <si>
    <t>Reference Family of Four: Two Parent, Two Children, Two Income Family</t>
  </si>
  <si>
    <t>Other Calculations</t>
  </si>
  <si>
    <t>Item</t>
  </si>
  <si>
    <t>Monthly</t>
  </si>
  <si>
    <t>Annually</t>
  </si>
  <si>
    <t>% of Total</t>
  </si>
  <si>
    <t>Income</t>
  </si>
  <si>
    <t>Rent</t>
  </si>
  <si>
    <t>Content Insurance</t>
  </si>
  <si>
    <t>Total</t>
  </si>
  <si>
    <t>Average Student Fees</t>
  </si>
  <si>
    <t>Tuition</t>
  </si>
  <si>
    <t>Child Care</t>
  </si>
  <si>
    <t>Parent Education</t>
  </si>
  <si>
    <t>Base Customer Charge</t>
  </si>
  <si>
    <t>HST</t>
  </si>
  <si>
    <t>Table II:  Non-Wage Income (Government Transfers)</t>
  </si>
  <si>
    <t>GST</t>
  </si>
  <si>
    <t>UCCB</t>
  </si>
  <si>
    <t>Table III:  Family Income Less Family Expenses</t>
  </si>
  <si>
    <t>Available Annual Income</t>
  </si>
  <si>
    <t>Annual Family Expenses</t>
  </si>
  <si>
    <t>Gap</t>
  </si>
  <si>
    <t>Table IV:  The Living Wage and Government Deductions and Taxes</t>
  </si>
  <si>
    <t>Parent 1</t>
  </si>
  <si>
    <t>Parent 2</t>
  </si>
  <si>
    <t>Hours / Week</t>
  </si>
  <si>
    <t>Wage</t>
  </si>
  <si>
    <t>Employment Income</t>
  </si>
  <si>
    <t>Net Income</t>
  </si>
  <si>
    <t>EI Premiums</t>
  </si>
  <si>
    <t>CPP Premiums</t>
  </si>
  <si>
    <t>Fed. Income Tax</t>
  </si>
  <si>
    <t>Prov. Income Tax</t>
  </si>
  <si>
    <t>After Tax Income</t>
  </si>
  <si>
    <t>Monthly After Tax Inc.</t>
  </si>
  <si>
    <t>Table V:  Family Income less Gov't Deductions and Taxes plus Gov't Transfers</t>
  </si>
  <si>
    <t>Total Annual Income from Employment</t>
  </si>
  <si>
    <t xml:space="preserve">  - EI, CPP, Fed. and Prov. Taxes</t>
  </si>
  <si>
    <t>Equals Family Take Home Pay</t>
  </si>
  <si>
    <t>Equals Total Disposable Family Income</t>
  </si>
  <si>
    <t xml:space="preserve">  - Family Expenses</t>
  </si>
  <si>
    <t>Equals Income less expenses</t>
  </si>
  <si>
    <t>Health Care</t>
  </si>
  <si>
    <t>Federal Tuition Credits</t>
  </si>
  <si>
    <t>Provincial Tuition Credits</t>
  </si>
  <si>
    <t>$60/month</t>
  </si>
  <si>
    <t>$20/mth text</t>
  </si>
  <si>
    <t>$120/mth</t>
  </si>
  <si>
    <t>NS Child Benefit</t>
  </si>
  <si>
    <t>Canada Child Benefit</t>
  </si>
  <si>
    <t>NS Affordable Living Credit</t>
  </si>
  <si>
    <t>Fed. Refundable Credits</t>
  </si>
  <si>
    <t>Cost per unit</t>
  </si>
  <si>
    <t xml:space="preserve">Total </t>
  </si>
  <si>
    <t>Before/After School(7y/o)</t>
  </si>
  <si>
    <t>Summer (7y/o)</t>
  </si>
  <si>
    <t>NS Power</t>
  </si>
  <si>
    <t>Shelter</t>
  </si>
  <si>
    <t>Energy Rebate</t>
  </si>
  <si>
    <t>Child Care Subsidy</t>
  </si>
  <si>
    <t xml:space="preserve">Adjustments </t>
  </si>
  <si>
    <t>Contingency/Emergency</t>
  </si>
  <si>
    <t>Rate/KWh (1100)</t>
  </si>
  <si>
    <t>Children ages 4 and 7: 1 in full time care, 1 in before/after school care $ 6wk summer care; 1 parent pt educ</t>
  </si>
  <si>
    <t>Living Wage Calculation: Halifax  2015 (based on 2014 data):  35 hrs/wk + 35 hrs/wk</t>
  </si>
  <si>
    <t>Boy age 7</t>
  </si>
  <si>
    <t>Girl age 4</t>
  </si>
  <si>
    <t>Man age 31-50</t>
  </si>
  <si>
    <t>Woman age 31-50</t>
  </si>
  <si>
    <t>Total Monthly</t>
  </si>
  <si>
    <t>Food Costs NS 2012</t>
  </si>
  <si>
    <t>Preschool Full Time (4y/o)</t>
  </si>
  <si>
    <t>Market Basket Measure 'Other'</t>
  </si>
  <si>
    <t>Household Expenses</t>
  </si>
  <si>
    <t>Food</t>
  </si>
  <si>
    <t>Clothing and Footwear</t>
  </si>
  <si>
    <t>Utilities</t>
  </si>
  <si>
    <t>Social Inclusion</t>
  </si>
  <si>
    <t>Transportation</t>
  </si>
  <si>
    <t xml:space="preserve">  + CCTB, NS CTTB, UCCB, NSCCTC, GST</t>
  </si>
  <si>
    <t>12monthly bus passes</t>
  </si>
  <si>
    <t xml:space="preserve"> Transportation</t>
  </si>
  <si>
    <t>Private Vehicle</t>
  </si>
  <si>
    <t>Table 202-0809 Market Basket Measure Thresholds (2011 base) for reference family, by Market Basket Measure region and component, 2011 constant dollars, annual (dollars)(1,2,4)</t>
  </si>
  <si>
    <t>Survey or program details:</t>
  </si>
  <si>
    <t>Survey of Consumer Finances - 3502</t>
  </si>
  <si>
    <t>Survey of Labour and Income Dynamics - 3889</t>
  </si>
  <si>
    <t>Geography (4)</t>
  </si>
  <si>
    <t>Component</t>
  </si>
  <si>
    <t>Nova Scotia, rural</t>
  </si>
  <si>
    <t>Total threshold</t>
  </si>
  <si>
    <t>Clothing</t>
  </si>
  <si>
    <t>Other expenses</t>
  </si>
  <si>
    <t>Nova Scotia, population under 30,000</t>
  </si>
  <si>
    <t>Nova Scotia, population 30,000 to 99,999</t>
  </si>
  <si>
    <t>Halifax, Nova Scotia</t>
  </si>
  <si>
    <t>Cape Breton, Nova Scotia</t>
  </si>
  <si>
    <t>Footnotes:</t>
  </si>
  <si>
    <t>Source: Income Statistics Division, Statistics Canada</t>
  </si>
  <si>
    <t>The Market Basket Measure (MBM) attempts to measure a standard of living that is a compromise between subsistence and social inclusion. It also reflects differences in living costs across regions. The MBM represents the cost of a basket that includes: a nutritious diet, clothing and footwear, shelter, transportation, and other necessary goods and services (such as personal care items or household supplies). The cost of the basket is compared to disposable income for each family to determine low income rates. Following a review by Human Resources and Skills Development Canada, the shelter component of the MBM thresholds along with the disposable income definition have been revised. The revision takes effect in 2011 and includes an historical revision back to 2002 (the first year in which housing tenure information is available in SLID). See Statistics Canada Income Research Paper (75F0002M) Low Income Lines, 2011-2012 for details.</t>
  </si>
  <si>
    <t>Rural areas: includes communities with a population of less than 1,000 or with a population density less than 400 persons per square kilometer that are located outside Census metropolitan areas (CMAs) or Census agglomerations (CAs). Population under 30,000 : CAs below 30,000 and population centres below 10,000 persons. Population 30,000 to 99,999 : CAs between 30,000 and 99,999 persons. Population 100,000 to 499,999: CMAs between 100,000 and 499,999. Population 500,000 and over: CMAs with 500,000 or more persons. Specific city name refers to the population within the CMA or CA.</t>
  </si>
  <si>
    <t>Source:</t>
  </si>
  <si>
    <t>Statistics Canada. Table 202-0809 - Market Basket Measure Thresholds (2011 base) for reference family, by Market Basket Measure region and component, 2011 constant dollars, annual (dollars)</t>
  </si>
  <si>
    <t>(accessed: February 03, 2015)</t>
  </si>
  <si>
    <t>Table I: Family Expenses--Two Adults and Two Children (age 4 and 7)</t>
  </si>
  <si>
    <t>Table 326-0021 Consumer Price Index (CPI), annual (2002=100)(1,2,3,4,5,6,7,9)</t>
  </si>
  <si>
    <t>Consumer Price Index - 2301</t>
  </si>
  <si>
    <t>Geography (10)</t>
  </si>
  <si>
    <t>Products and product groups (15)</t>
  </si>
  <si>
    <t>Nova Scotia</t>
  </si>
  <si>
    <t>All-items (16)</t>
  </si>
  <si>
    <t>Food (17)</t>
  </si>
  <si>
    <t>Shelter (18)</t>
  </si>
  <si>
    <t>Household operations, furnishings and equipment</t>
  </si>
  <si>
    <t>Clothing and footwear</t>
  </si>
  <si>
    <t>Gasoline</t>
  </si>
  <si>
    <t>Health and personal care</t>
  </si>
  <si>
    <t>Recreation, education and reading</t>
  </si>
  <si>
    <t>Alcoholic beverages and tobacco products</t>
  </si>
  <si>
    <t>All-items excluding food and energy (25)</t>
  </si>
  <si>
    <t>All-items excluding energy (25)</t>
  </si>
  <si>
    <t>Energy (25)</t>
  </si>
  <si>
    <t>Goods (27)</t>
  </si>
  <si>
    <t>Services (28)</t>
  </si>
  <si>
    <t>Halifax, Nova Scotia [12205]  (11)</t>
  </si>
  <si>
    <t>The Consumer Price Index (CPI) is an indicator of the changes in consumer prices experienced by the target population. The CPI measures price change by comparing, over time, the cost of a fixed basket of goods and services. This basket is based on the expenditures of the target population in a certain reference period, currently 2011. Since the basket contains goods and services of unchanging or equivalent quantity and quality, the index reflects only pure price movements. Separate CPIs are published for Canada, the ten provinces, Whitehorse, Yellowknife and Iqaluit. Some CPI information is also available for sixteen additional urban centres. Since the CPI is a measure of price change from one time period to another, it cannot be used to indicate differences in price levels between provinces or urban centres.</t>
  </si>
  <si>
    <t>The Consumer Price Index (CPI) is not a cost-of-living index. The objective behind a cost-of-living index is to measure changes in expenditures necessary for consumers to maintain a constant standard of living. The idea is that consumers would normally switch between products as the price relationship of goods changes. If, for example, consumers get the same satisfaction from drinking tea as they do from coffee, then it is possible to substitute tea for coffee if the price of tea falls relative to the price of coffee. The cheaper of the interchangeable products may be chosen. We could compute a cost-of-living index for an individual if we had complete information about that person's taste and spending habits. To do this for a large number of people, let alone the total population of Canada, is impossible. For this reason, regularly published price indexes are based on the fixed-basket concept rather than the cost-of-living concept.</t>
  </si>
  <si>
    <t>The Consumer Price Index (CPI) compares, in percentage terms, prices in any given time period to prices in the official base period which, at present, is 2002=100. The official time base was changed from 1992=100 to 2002=100 starting with the May 2007 data released in June 2007. The change is strictly an arithmetic conversion, which alters the index levels but leaves the percentage changes between any two periods intact, except for differences in rounding.</t>
  </si>
  <si>
    <t>The Consumer Price Index (CPI) maintains fixed quantitative proportions (weights) between goods and services during the life of a given basket. The baskets are updated periodically to take into account changes in consumer expenditure patterns. The basket reflecting the 2011 expenditure patterns replaced the 2009 basket starting with the February 2013 data released in March 2013. The continuity of the CPI series is maintained by "linking" the corresponding indexes obtained from consecutive baskets. The CPI is calculated as a weighted average of specified goods and services price indexes. The weights are derived from Survey of Household Spending data. When reconstructing or re-aggregating published CPI series, the changes in weights and the linking procedures must be taken into account. The process of linking is to apply the price movements calculated from the new basket to the series published previously. For a description of the methodology required to reconstruct or re-aggregate CPI series, see publication 62-553 The Consumer Price Index Reference Paper.</t>
  </si>
  <si>
    <t>For concepts and definitions, see publication 62-557 Your Guide to the Consumer Price Index, or publication 62-553 The Consumer Price Index Reference Paper. Additional information can also be obtained from: CPD Dissemination Unit, Consumer Prices Division, telephone: (613) 951-9606, toll-free: 1-866-230-2248, fax: (613) 951-2848, e-mail: cpd-info-dpc@statcan.gc.ca.</t>
  </si>
  <si>
    <t>Statistics Canada determined that the weights for mortgage interest cost were too high in the basket update effective January 2003. The effect on the Canada All-items Consumer Price Index (CPI) was very small, within the rounding factor of the index. Effective with the July 2004 release, the 2001 basket weights were adjusted. CPI basket weights are available in CANSIM table 326-0031.</t>
  </si>
  <si>
    <t>The Bank of Canada's Core Index (1992=100) was previously available in CANSIM table 176-0003 as the Consumer Price Index (CPI) excluding eight of the most volatile components and indirect taxes (CPIX) (1992=100).</t>
  </si>
  <si>
    <t>This table replaces CANSIM table 326-0002 which terminated with the release of April 2007 data.</t>
  </si>
  <si>
    <t>The population targeted by the Consumer Price Index (CPI) consists of families and individuals living in urban and rural private households. For practical reasons, residents of the Territories outside Whitehorse, Yellowknife and Iqaluit are not represented by the index. Previous to January 1995, the target population consisted of private households in Canadian urban centres with a population of 30,000 or more.</t>
  </si>
  <si>
    <t>With the introduction of the 1992 basket in January 1995, emphasis was shifted from urban centre data to provincial data. Urban centre all-items series were continued since many users had come to rely on this service, but the method of calculation was changed. Shelter indexes are calculated for each urban centre. This recognizes the importance of shelter in the basket, the significant and persistent differences in price movements between urban centres, and the availability of local data. For the other seven major components, the movement of the provincial counterpart is used except in the cases of Montréal, Toronto, and Vancouver, where a sub-provincial counterpart is used. The major components are aggregated using the urban centre's expenditure pattern to arrive at each urban centre's all-items index.</t>
  </si>
  <si>
    <t>The goods and services that make up the Consumer Price Index (CPI) are organized according to a hierarchical structure with the "all-items CPI" as the top level. Eight major components of goods and services make up the "all-items CPI". They are: "food", "shelter", "household operations, furnishings and equipment", "clothing and footwear", "transportation", "health and personal care", "recreation, education and reading", and "alcoholic beverages and tobacco products". These eight components are broken down into a varying number of sub-groups which are in turn broken down into other sub-groups. Indents are used to identify the components that make up each level of aggregation. For example, the eight major components appear with one indent relative to the "all-items CPI" to show that they are combined to obtain the "all-items CPI". NOTE: Some items are recombined outside the main structure of the CPI to obtain special aggregates such as "all-items CPI excluding food and energy", "energy", "goods", "services", or "fresh fruit and fresh vegetables". They are listed after the components of the main structure of the CPI following the last major component entitled "alcoholic beverages and tobacco products".</t>
  </si>
  <si>
    <t>The eight major components of the Consumer Price Index (CPI) basket are: "food", "shelter", "household operations, furnishings and equipment", "clothing and footwear", "transportation", "health and personal care", "recreation, education and reading", and "alcoholic beverages and tobacco products".</t>
  </si>
  <si>
    <t>Food includes non-alcoholic beverages.</t>
  </si>
  <si>
    <t>Part of the increase first recorded in the shelter index for Yellowknife for December 2004 inadvertently reflected rent increases that actually occurred earlier. As a result, the change in the shelter index was overstated in December 2004, and was understated in the previous two years. The shelter index series for Yellowknife has been corrected from December 2002. In addition, the Yellowknife all-items consumer price index (CPI) and some Yellowknife special aggregate index series have also changed. Data for Canada and all other provinces and territories were not affected.</t>
  </si>
  <si>
    <t>The special aggregate "energy" includes: "electricity", "natural gas", "fuel oil and other fuels", "gasoline", and "fuel, parts and supplies for recreational vehicles".</t>
  </si>
  <si>
    <t>Goods are physical or tangible commodities usually classified according to their life span into non-durable goods, semi-durable goods and durable goods. Non-durable goods are those goods that can be used up entirely in less than a year, assuming normal usage. For example, fresh food products, disposable cameras and gasoline are non-durable goods. Semi-durable goods are those goods that may last less than 12 months or greater than 12 months depending on the purpose to which they are put. For example, clothing, footwear and household textiles are semi-durable goods. Durable goods are those goods which may be used repeatedly or continuously over more than a year, assuming normal usage. For example, cars, audio and video equipment and furniture are durable goods.</t>
  </si>
  <si>
    <t>A service in the Consumer Price Index (CPI) is characterized by valuable work performed by an individual or organization on behalf of a consumer, for example, car tune-ups, haircuts and city public transportation. Transactions classified as a service may include the cost of goods by their nature. Examples include food in restaurant food services and materials in clothing repair services.</t>
  </si>
  <si>
    <t>Statistics Canada. Table 326-0021 - Consumer Price Index (CPI), annual (2002=100 unless otherwise noted)</t>
  </si>
  <si>
    <t>Consumer Price Index, transportation, by province</t>
  </si>
  <si>
    <t>(Nova Scotia)</t>
  </si>
  <si>
    <t>2002=100</t>
  </si>
  <si>
    <t>N.S.</t>
  </si>
  <si>
    <t>All-items</t>
  </si>
  <si>
    <t>Private transportation</t>
  </si>
  <si>
    <t>Purchase, leasing and rental of passenger vehicles</t>
  </si>
  <si>
    <t>Operation of passenger vehicles</t>
  </si>
  <si>
    <t>Public transportation</t>
  </si>
  <si>
    <t>Local and commuter transportation</t>
  </si>
  <si>
    <t>Inter-city transportation</t>
  </si>
  <si>
    <t>MBM</t>
  </si>
  <si>
    <t>Population Under 30,000, Nova Scotia</t>
  </si>
  <si>
    <t>Child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</si>
</sst>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4" formatCode="_-&quot;$&quot;* #,##0.00_-;\-&quot;$&quot;* #,##0.00_-;_-&quot;$&quot;* &quot;-&quot;??_-;_-@_-"/>
    <numFmt numFmtId="164" formatCode="&quot;$&quot;#,##0.00_);[Red]\(&quot;$&quot;#,##0.00\)"/>
    <numFmt numFmtId="165" formatCode="&quot;$&quot;#,##0.00"/>
    <numFmt numFmtId="166" formatCode="0.0%"/>
    <numFmt numFmtId="167" formatCode="0.000"/>
  </numFmts>
  <fonts count="24" x14ac:knownFonts="1">
    <font>
      <sz val="11"/>
      <color theme="1"/>
      <name val="Calibri"/>
      <family val="2"/>
      <scheme val="minor"/>
    </font>
    <font>
      <sz val="11"/>
      <color indexed="8"/>
      <name val="Calibri"/>
      <family val="2"/>
    </font>
    <font>
      <sz val="10"/>
      <name val="Arial"/>
      <family val="2"/>
    </font>
    <font>
      <b/>
      <sz val="10"/>
      <name val="Arial"/>
      <family val="2"/>
    </font>
    <font>
      <b/>
      <sz val="9"/>
      <color indexed="81"/>
      <name val="Tahoma"/>
      <family val="2"/>
    </font>
    <font>
      <sz val="9"/>
      <color indexed="81"/>
      <name val="Tahoma"/>
      <family val="2"/>
    </font>
    <font>
      <b/>
      <sz val="12"/>
      <name val="Arial"/>
      <family val="2"/>
    </font>
    <font>
      <sz val="10"/>
      <name val="Verdana"/>
      <family val="2"/>
    </font>
    <font>
      <b/>
      <sz val="12"/>
      <color indexed="54"/>
      <name val="Arial"/>
      <family val="2"/>
    </font>
    <font>
      <b/>
      <sz val="11"/>
      <color indexed="8"/>
      <name val="Calibri"/>
      <family val="2"/>
    </font>
    <font>
      <b/>
      <sz val="12"/>
      <color indexed="54"/>
      <name val="Calibri"/>
      <family val="2"/>
    </font>
    <font>
      <b/>
      <sz val="11"/>
      <name val="Arial"/>
      <family val="2"/>
    </font>
    <font>
      <sz val="8"/>
      <name val="Calibri"/>
      <family val="2"/>
    </font>
    <font>
      <sz val="11"/>
      <name val="Calibri"/>
      <family val="2"/>
    </font>
    <font>
      <sz val="11"/>
      <color rgb="FF006100"/>
      <name val="Calibri"/>
      <family val="2"/>
      <scheme val="minor"/>
    </font>
    <font>
      <b/>
      <sz val="15"/>
      <color theme="3"/>
      <name val="Calibri"/>
      <family val="2"/>
      <scheme val="minor"/>
    </font>
    <font>
      <b/>
      <sz val="13"/>
      <color theme="3"/>
      <name val="Calibri"/>
      <family val="2"/>
      <scheme val="minor"/>
    </font>
    <font>
      <sz val="11"/>
      <color rgb="FFFF0000"/>
      <name val="Calibri"/>
      <family val="2"/>
      <scheme val="minor"/>
    </font>
    <font>
      <sz val="11"/>
      <name val="Calibri"/>
      <family val="2"/>
      <scheme val="minor"/>
    </font>
    <font>
      <b/>
      <sz val="11"/>
      <name val="Calibri"/>
      <family val="2"/>
    </font>
    <font>
      <b/>
      <sz val="13"/>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rgb="FFC6EF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s>
  <cellStyleXfs count="9">
    <xf numFmtId="0" fontId="0" fillId="0" borderId="0"/>
    <xf numFmtId="44" fontId="1" fillId="0" borderId="0" applyFont="0" applyFill="0" applyBorder="0" applyAlignment="0" applyProtection="0"/>
    <xf numFmtId="0" fontId="14" fillId="2" borderId="0" applyNumberFormat="0" applyBorder="0" applyAlignment="0" applyProtection="0"/>
    <xf numFmtId="0" fontId="15" fillId="0" borderId="6" applyNumberFormat="0" applyFill="0" applyAlignment="0" applyProtection="0"/>
    <xf numFmtId="0" fontId="16" fillId="0" borderId="7" applyNumberFormat="0" applyFill="0" applyAlignment="0" applyProtection="0"/>
    <xf numFmtId="9" fontId="1" fillId="0" borderId="0" applyFont="0" applyFill="0" applyBorder="0" applyAlignment="0" applyProtection="0"/>
    <xf numFmtId="0" fontId="17"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cellStyleXfs>
  <cellXfs count="137">
    <xf numFmtId="0" fontId="0" fillId="0" borderId="0" xfId="0"/>
    <xf numFmtId="0" fontId="2" fillId="0" borderId="0" xfId="0" applyFont="1" applyFill="1"/>
    <xf numFmtId="2" fontId="2" fillId="0" borderId="0" xfId="0" applyNumberFormat="1" applyFont="1" applyFill="1"/>
    <xf numFmtId="17" fontId="3" fillId="0" borderId="0" xfId="0" applyNumberFormat="1" applyFont="1" applyFill="1" applyAlignment="1">
      <alignment horizontal="right"/>
    </xf>
    <xf numFmtId="0" fontId="3" fillId="0" borderId="0" xfId="0" applyFont="1" applyFill="1" applyAlignment="1">
      <alignment horizontal="left"/>
    </xf>
    <xf numFmtId="2" fontId="3" fillId="0" borderId="0" xfId="0" applyNumberFormat="1" applyFont="1" applyFill="1"/>
    <xf numFmtId="0" fontId="3" fillId="0" borderId="0" xfId="0" applyFont="1" applyFill="1"/>
    <xf numFmtId="0" fontId="2"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3" fillId="0" borderId="1" xfId="0" applyFont="1" applyFill="1" applyBorder="1"/>
    <xf numFmtId="0" fontId="3" fillId="0" borderId="0" xfId="0" applyFont="1" applyFill="1" applyBorder="1" applyAlignment="1">
      <alignment horizontal="right"/>
    </xf>
    <xf numFmtId="0" fontId="0" fillId="0" borderId="0" xfId="0" applyFill="1"/>
    <xf numFmtId="0" fontId="2" fillId="0" borderId="1" xfId="0" applyFont="1" applyFill="1" applyBorder="1"/>
    <xf numFmtId="2" fontId="2" fillId="0" borderId="1" xfId="0" applyNumberFormat="1" applyFont="1" applyFill="1" applyBorder="1"/>
    <xf numFmtId="0" fontId="3" fillId="0" borderId="1" xfId="0" applyFont="1" applyFill="1" applyBorder="1" applyAlignment="1"/>
    <xf numFmtId="0" fontId="2" fillId="0" borderId="0" xfId="0" applyFont="1" applyFill="1" applyBorder="1" applyAlignment="1">
      <alignment horizontal="right"/>
    </xf>
    <xf numFmtId="0" fontId="2" fillId="0" borderId="1" xfId="0" applyFont="1" applyFill="1" applyBorder="1" applyAlignment="1">
      <alignment horizontal="right"/>
    </xf>
    <xf numFmtId="165" fontId="2" fillId="0" borderId="1" xfId="0" applyNumberFormat="1" applyFont="1" applyFill="1" applyBorder="1" applyAlignment="1">
      <alignment horizontal="right" vertical="center"/>
    </xf>
    <xf numFmtId="0" fontId="2" fillId="0" borderId="0" xfId="0" applyFont="1" applyFill="1" applyAlignment="1">
      <alignment horizontal="left"/>
    </xf>
    <xf numFmtId="0" fontId="2" fillId="0" borderId="2" xfId="0" applyFont="1" applyFill="1" applyBorder="1" applyAlignment="1">
      <alignment horizontal="right"/>
    </xf>
    <xf numFmtId="0" fontId="2" fillId="0" borderId="1" xfId="0" applyFont="1" applyFill="1" applyBorder="1" applyAlignment="1">
      <alignment horizontal="right" vertical="center"/>
    </xf>
    <xf numFmtId="167" fontId="2" fillId="0" borderId="0" xfId="0" applyNumberFormat="1" applyFont="1" applyFill="1" applyBorder="1" applyAlignment="1">
      <alignment horizontal="right"/>
    </xf>
    <xf numFmtId="0" fontId="2" fillId="0" borderId="0" xfId="0" applyFont="1" applyFill="1" applyBorder="1" applyAlignment="1">
      <alignment horizontal="center" wrapText="1"/>
    </xf>
    <xf numFmtId="165" fontId="2" fillId="0" borderId="1" xfId="0" applyNumberFormat="1" applyFont="1" applyFill="1" applyBorder="1"/>
    <xf numFmtId="0" fontId="2" fillId="0" borderId="0" xfId="0" applyFont="1" applyFill="1" applyBorder="1" applyAlignment="1">
      <alignment horizontal="center" vertical="center" wrapText="1"/>
    </xf>
    <xf numFmtId="167" fontId="2" fillId="0" borderId="0" xfId="0" applyNumberFormat="1" applyFont="1" applyFill="1" applyBorder="1" applyAlignment="1">
      <alignment horizontal="left"/>
    </xf>
    <xf numFmtId="0" fontId="2" fillId="0" borderId="0" xfId="0" applyFont="1" applyFill="1" applyAlignment="1">
      <alignment horizontal="center"/>
    </xf>
    <xf numFmtId="2" fontId="2" fillId="0" borderId="0" xfId="0" applyNumberFormat="1" applyFont="1" applyFill="1" applyBorder="1" applyAlignment="1">
      <alignment horizontal="right"/>
    </xf>
    <xf numFmtId="2" fontId="2" fillId="0" borderId="0" xfId="0" applyNumberFormat="1" applyFont="1" applyFill="1" applyBorder="1"/>
    <xf numFmtId="2" fontId="3" fillId="0" borderId="0" xfId="0" applyNumberFormat="1" applyFont="1" applyFill="1" applyBorder="1" applyAlignment="1">
      <alignment horizontal="center"/>
    </xf>
    <xf numFmtId="164" fontId="2" fillId="0" borderId="0" xfId="0" applyNumberFormat="1" applyFont="1" applyFill="1" applyAlignment="1">
      <alignment horizontal="center"/>
    </xf>
    <xf numFmtId="0" fontId="2" fillId="0" borderId="0" xfId="0" applyFont="1" applyFill="1" applyAlignment="1">
      <alignment horizontal="left" vertical="center"/>
    </xf>
    <xf numFmtId="0" fontId="3" fillId="0" borderId="1" xfId="0" applyFont="1" applyFill="1" applyBorder="1" applyAlignment="1">
      <alignment horizontal="left"/>
    </xf>
    <xf numFmtId="0" fontId="3" fillId="0" borderId="0" xfId="0" applyFont="1" applyFill="1" applyBorder="1" applyAlignment="1">
      <alignment horizontal="left"/>
    </xf>
    <xf numFmtId="0" fontId="2" fillId="0" borderId="0" xfId="0" applyFont="1" applyFill="1" applyAlignment="1">
      <alignment horizontal="right"/>
    </xf>
    <xf numFmtId="2" fontId="3" fillId="0" borderId="0" xfId="0" applyNumberFormat="1" applyFont="1" applyFill="1" applyBorder="1"/>
    <xf numFmtId="2" fontId="3" fillId="0" borderId="0" xfId="0" applyNumberFormat="1" applyFont="1" applyFill="1" applyAlignment="1">
      <alignment horizontal="center"/>
    </xf>
    <xf numFmtId="0" fontId="3" fillId="0" borderId="0" xfId="0" applyFont="1" applyFill="1" applyBorder="1"/>
    <xf numFmtId="0" fontId="2" fillId="0" borderId="0" xfId="0" applyFont="1" applyFill="1" applyBorder="1" applyAlignment="1">
      <alignment horizontal="center"/>
    </xf>
    <xf numFmtId="2" fontId="2" fillId="0" borderId="0" xfId="0" applyNumberFormat="1" applyFont="1" applyFill="1" applyBorder="1" applyAlignment="1">
      <alignment horizontal="center"/>
    </xf>
    <xf numFmtId="1" fontId="2" fillId="0" borderId="1" xfId="0" applyNumberFormat="1" applyFont="1" applyFill="1" applyBorder="1"/>
    <xf numFmtId="2" fontId="2" fillId="0" borderId="0" xfId="0" applyNumberFormat="1" applyFont="1" applyFill="1" applyBorder="1" applyAlignment="1">
      <alignment horizontal="left"/>
    </xf>
    <xf numFmtId="0" fontId="7" fillId="0" borderId="1" xfId="0" applyFont="1" applyBorder="1"/>
    <xf numFmtId="2" fontId="7" fillId="0" borderId="1" xfId="0" applyNumberFormat="1" applyFont="1" applyBorder="1"/>
    <xf numFmtId="165" fontId="7" fillId="0" borderId="1" xfId="0" applyNumberFormat="1" applyFont="1" applyBorder="1"/>
    <xf numFmtId="0" fontId="2" fillId="0" borderId="1" xfId="2" applyFont="1" applyFill="1" applyBorder="1"/>
    <xf numFmtId="0" fontId="2" fillId="0" borderId="1" xfId="2" applyFont="1" applyFill="1" applyBorder="1" applyAlignment="1">
      <alignment horizontal="left"/>
    </xf>
    <xf numFmtId="165" fontId="2" fillId="0" borderId="1" xfId="2" applyNumberFormat="1" applyFont="1" applyFill="1" applyBorder="1"/>
    <xf numFmtId="166" fontId="2" fillId="0" borderId="1" xfId="2" applyNumberFormat="1" applyFont="1" applyFill="1" applyBorder="1" applyAlignment="1">
      <alignment horizontal="center"/>
    </xf>
    <xf numFmtId="0" fontId="3" fillId="0" borderId="1" xfId="2" applyFont="1" applyFill="1" applyBorder="1"/>
    <xf numFmtId="165" fontId="2" fillId="0" borderId="1" xfId="2" applyNumberFormat="1" applyFont="1" applyFill="1" applyBorder="1" applyAlignment="1">
      <alignment horizontal="right"/>
    </xf>
    <xf numFmtId="0" fontId="2" fillId="0" borderId="3" xfId="0" applyFont="1" applyFill="1" applyBorder="1" applyAlignment="1">
      <alignment horizontal="left"/>
    </xf>
    <xf numFmtId="0" fontId="2" fillId="0" borderId="4" xfId="0" applyFont="1" applyFill="1" applyBorder="1" applyAlignment="1">
      <alignment horizontal="left"/>
    </xf>
    <xf numFmtId="2" fontId="16" fillId="0" borderId="0" xfId="4" applyNumberFormat="1" applyFill="1" applyBorder="1" applyAlignment="1">
      <alignment horizontal="left"/>
    </xf>
    <xf numFmtId="0" fontId="3" fillId="0" borderId="1" xfId="0" applyFont="1" applyFill="1" applyBorder="1" applyAlignment="1">
      <alignment horizontal="center"/>
    </xf>
    <xf numFmtId="2" fontId="3" fillId="0" borderId="1" xfId="0" applyNumberFormat="1"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165" fontId="3" fillId="0" borderId="1" xfId="0" applyNumberFormat="1" applyFont="1" applyFill="1" applyBorder="1" applyAlignment="1">
      <alignment horizontal="right" vertical="center"/>
    </xf>
    <xf numFmtId="165" fontId="9" fillId="0" borderId="1" xfId="0" applyNumberFormat="1" applyFont="1" applyBorder="1"/>
    <xf numFmtId="0" fontId="3" fillId="0" borderId="1" xfId="0" applyFont="1" applyFill="1" applyBorder="1" applyAlignment="1">
      <alignment horizontal="right"/>
    </xf>
    <xf numFmtId="0" fontId="3" fillId="0" borderId="1" xfId="0" applyFont="1" applyFill="1" applyBorder="1" applyAlignment="1">
      <alignment horizontal="right" vertical="center"/>
    </xf>
    <xf numFmtId="165" fontId="3" fillId="0" borderId="1" xfId="0" applyNumberFormat="1" applyFont="1" applyFill="1" applyBorder="1"/>
    <xf numFmtId="10" fontId="2" fillId="0" borderId="1" xfId="2" applyNumberFormat="1" applyFont="1" applyFill="1" applyBorder="1" applyAlignment="1">
      <alignment horizontal="center"/>
    </xf>
    <xf numFmtId="166" fontId="3" fillId="0" borderId="1" xfId="5" applyNumberFormat="1" applyFont="1" applyFill="1" applyBorder="1" applyAlignment="1">
      <alignment horizontal="center"/>
    </xf>
    <xf numFmtId="165" fontId="3" fillId="0" borderId="1" xfId="2" applyNumberFormat="1" applyFont="1" applyFill="1" applyBorder="1"/>
    <xf numFmtId="165" fontId="3" fillId="0" borderId="1" xfId="0" applyNumberFormat="1" applyFont="1" applyFill="1" applyBorder="1" applyAlignment="1">
      <alignment horizontal="right"/>
    </xf>
    <xf numFmtId="165" fontId="2" fillId="0" borderId="0" xfId="0" applyNumberFormat="1" applyFont="1" applyFill="1" applyBorder="1"/>
    <xf numFmtId="0" fontId="3" fillId="0" borderId="3" xfId="0" applyFont="1" applyFill="1" applyBorder="1" applyAlignment="1">
      <alignment horizontal="right"/>
    </xf>
    <xf numFmtId="0" fontId="3" fillId="0" borderId="4" xfId="0" applyFont="1" applyFill="1" applyBorder="1" applyAlignment="1">
      <alignment horizontal="right"/>
    </xf>
    <xf numFmtId="3" fontId="0" fillId="0" borderId="0" xfId="0" applyNumberFormat="1"/>
    <xf numFmtId="165" fontId="2" fillId="0" borderId="0" xfId="2" applyNumberFormat="1" applyFont="1" applyFill="1" applyBorder="1"/>
    <xf numFmtId="0" fontId="16" fillId="0" borderId="0" xfId="4" applyFill="1" applyBorder="1" applyAlignment="1">
      <alignment horizontal="left"/>
    </xf>
    <xf numFmtId="6" fontId="0" fillId="0" borderId="0" xfId="0" applyNumberFormat="1"/>
    <xf numFmtId="6" fontId="3" fillId="0" borderId="0" xfId="0" applyNumberFormat="1" applyFont="1" applyFill="1"/>
    <xf numFmtId="0" fontId="0" fillId="0" borderId="1" xfId="0" applyBorder="1"/>
    <xf numFmtId="2" fontId="3" fillId="0" borderId="1" xfId="0" applyNumberFormat="1" applyFont="1" applyFill="1" applyBorder="1"/>
    <xf numFmtId="165" fontId="0" fillId="0" borderId="0" xfId="0" applyNumberFormat="1"/>
    <xf numFmtId="165" fontId="2" fillId="0" borderId="0" xfId="0" applyNumberFormat="1" applyFont="1" applyFill="1"/>
    <xf numFmtId="0" fontId="2" fillId="0" borderId="0" xfId="0" quotePrefix="1" applyFont="1" applyFill="1"/>
    <xf numFmtId="2" fontId="3" fillId="0" borderId="0" xfId="0" quotePrefix="1" applyNumberFormat="1" applyFont="1" applyFill="1" applyBorder="1"/>
    <xf numFmtId="165" fontId="13" fillId="0" borderId="1" xfId="0" applyNumberFormat="1" applyFont="1" applyFill="1" applyBorder="1"/>
    <xf numFmtId="2" fontId="3" fillId="0" borderId="1" xfId="0" applyNumberFormat="1" applyFont="1" applyFill="1" applyBorder="1" applyAlignment="1">
      <alignment horizontal="center"/>
    </xf>
    <xf numFmtId="0" fontId="3" fillId="0" borderId="1" xfId="0" applyFont="1" applyFill="1" applyBorder="1" applyAlignment="1">
      <alignment horizontal="center"/>
    </xf>
    <xf numFmtId="0" fontId="2" fillId="0" borderId="1" xfId="0" applyFont="1" applyFill="1" applyBorder="1" applyAlignment="1">
      <alignment horizontal="right"/>
    </xf>
    <xf numFmtId="0" fontId="3" fillId="0" borderId="1" xfId="0" applyFont="1" applyFill="1" applyBorder="1" applyAlignment="1">
      <alignment horizontal="right"/>
    </xf>
    <xf numFmtId="2" fontId="2" fillId="0" borderId="1" xfId="0" applyNumberFormat="1" applyFont="1" applyFill="1" applyBorder="1" applyAlignment="1">
      <alignment horizontal="right"/>
    </xf>
    <xf numFmtId="165" fontId="13" fillId="0" borderId="1" xfId="0" applyNumberFormat="1" applyFont="1" applyBorder="1"/>
    <xf numFmtId="165" fontId="18" fillId="0" borderId="2" xfId="0" applyNumberFormat="1" applyFont="1" applyFill="1" applyBorder="1"/>
    <xf numFmtId="165" fontId="19" fillId="0" borderId="1" xfId="0" applyNumberFormat="1" applyFont="1" applyFill="1" applyBorder="1"/>
    <xf numFmtId="0" fontId="18" fillId="0" borderId="0" xfId="0" applyFont="1" applyFill="1"/>
    <xf numFmtId="165" fontId="13" fillId="0" borderId="0" xfId="0" applyNumberFormat="1" applyFont="1"/>
    <xf numFmtId="0" fontId="18" fillId="0" borderId="0" xfId="6" applyFont="1" applyFill="1"/>
    <xf numFmtId="165" fontId="18" fillId="0" borderId="0" xfId="2" applyNumberFormat="1" applyFont="1" applyFill="1" applyBorder="1"/>
    <xf numFmtId="2" fontId="18" fillId="0" borderId="0" xfId="2" applyNumberFormat="1" applyFont="1" applyFill="1" applyBorder="1"/>
    <xf numFmtId="44" fontId="2" fillId="0" borderId="1" xfId="1" applyFont="1" applyFill="1" applyBorder="1"/>
    <xf numFmtId="166" fontId="2" fillId="0" borderId="0" xfId="2" applyNumberFormat="1" applyFont="1" applyFill="1" applyBorder="1" applyAlignment="1">
      <alignment horizontal="center"/>
    </xf>
    <xf numFmtId="44" fontId="0" fillId="0" borderId="1" xfId="1" applyFont="1" applyBorder="1"/>
    <xf numFmtId="0" fontId="21" fillId="0" borderId="0" xfId="0" applyFont="1" applyAlignment="1">
      <alignment horizontal="center" vertical="center" wrapText="1"/>
    </xf>
    <xf numFmtId="0" fontId="21" fillId="0" borderId="0" xfId="0" applyFont="1" applyAlignment="1">
      <alignment vertical="center" wrapText="1"/>
    </xf>
    <xf numFmtId="0" fontId="0" fillId="0" borderId="0" xfId="0" applyAlignment="1">
      <alignment vertical="center" wrapText="1"/>
    </xf>
    <xf numFmtId="44" fontId="0" fillId="0" borderId="0" xfId="1" applyFont="1"/>
    <xf numFmtId="9" fontId="0" fillId="0" borderId="0" xfId="5" applyFont="1"/>
    <xf numFmtId="0" fontId="18" fillId="0" borderId="1" xfId="0" applyFont="1" applyBorder="1"/>
    <xf numFmtId="0" fontId="21" fillId="0" borderId="1" xfId="0" applyFont="1" applyBorder="1"/>
    <xf numFmtId="165" fontId="0" fillId="0" borderId="1" xfId="0" applyNumberFormat="1" applyBorder="1"/>
    <xf numFmtId="44" fontId="21" fillId="0" borderId="1" xfId="1" applyFont="1" applyBorder="1"/>
    <xf numFmtId="0" fontId="6" fillId="0" borderId="0" xfId="0" applyFont="1" applyFill="1"/>
    <xf numFmtId="0" fontId="2" fillId="0" borderId="3" xfId="0" applyFont="1" applyFill="1" applyBorder="1" applyAlignment="1">
      <alignment horizontal="left"/>
    </xf>
    <xf numFmtId="0" fontId="2" fillId="0" borderId="5" xfId="0" applyFont="1" applyFill="1" applyBorder="1" applyAlignment="1">
      <alignment horizontal="left"/>
    </xf>
    <xf numFmtId="0" fontId="2" fillId="0" borderId="4" xfId="0" applyFont="1" applyFill="1" applyBorder="1" applyAlignment="1">
      <alignment horizontal="left"/>
    </xf>
    <xf numFmtId="2" fontId="20" fillId="0" borderId="0" xfId="4" applyNumberFormat="1" applyFont="1" applyFill="1" applyBorder="1" applyAlignment="1">
      <alignment horizontal="left"/>
    </xf>
    <xf numFmtId="0" fontId="9" fillId="0" borderId="3" xfId="0" applyFont="1" applyBorder="1" applyAlignment="1">
      <alignment horizontal="center"/>
    </xf>
    <xf numFmtId="0" fontId="9" fillId="0" borderId="4" xfId="0" applyFont="1" applyBorder="1" applyAlignment="1">
      <alignment horizontal="center"/>
    </xf>
    <xf numFmtId="0" fontId="3" fillId="0" borderId="3" xfId="2" applyFont="1" applyFill="1" applyBorder="1" applyAlignment="1">
      <alignment horizontal="center"/>
    </xf>
    <xf numFmtId="0" fontId="3" fillId="0" borderId="5" xfId="2" applyFont="1" applyFill="1" applyBorder="1" applyAlignment="1">
      <alignment horizontal="center"/>
    </xf>
    <xf numFmtId="0" fontId="3" fillId="0" borderId="4" xfId="2" applyFont="1" applyFill="1" applyBorder="1" applyAlignment="1">
      <alignment horizontal="center"/>
    </xf>
    <xf numFmtId="0" fontId="3" fillId="0" borderId="1" xfId="2" applyFont="1" applyFill="1" applyBorder="1" applyAlignment="1">
      <alignment horizontal="right"/>
    </xf>
    <xf numFmtId="0" fontId="2" fillId="0" borderId="3" xfId="2" applyFont="1" applyFill="1" applyBorder="1" applyAlignment="1">
      <alignment horizontal="right"/>
    </xf>
    <xf numFmtId="0" fontId="2" fillId="0" borderId="4" xfId="2" applyFont="1" applyFill="1" applyBorder="1" applyAlignment="1">
      <alignment horizontal="right"/>
    </xf>
    <xf numFmtId="2" fontId="3" fillId="0" borderId="3" xfId="0" applyNumberFormat="1" applyFont="1" applyFill="1" applyBorder="1" applyAlignment="1">
      <alignment horizontal="center"/>
    </xf>
    <xf numFmtId="2" fontId="3" fillId="0" borderId="4" xfId="0" applyNumberFormat="1" applyFont="1" applyFill="1" applyBorder="1" applyAlignment="1">
      <alignment horizont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0" fillId="0" borderId="0" xfId="3" applyFont="1" applyFill="1" applyBorder="1" applyAlignment="1">
      <alignment horizontal="center"/>
    </xf>
    <xf numFmtId="2" fontId="8" fillId="0" borderId="0" xfId="3" applyNumberFormat="1" applyFont="1" applyFill="1" applyBorder="1" applyAlignment="1">
      <alignment horizontal="center"/>
    </xf>
    <xf numFmtId="0" fontId="3" fillId="0" borderId="1"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16" fillId="0" borderId="0" xfId="4" applyFill="1" applyBorder="1" applyAlignment="1">
      <alignment horizontal="left"/>
    </xf>
    <xf numFmtId="0" fontId="11" fillId="0" borderId="0" xfId="0" applyFont="1" applyFill="1" applyAlignment="1">
      <alignment horizontal="center"/>
    </xf>
    <xf numFmtId="0" fontId="8" fillId="0" borderId="0" xfId="3" applyFont="1" applyFill="1" applyBorder="1" applyAlignment="1">
      <alignment horizontal="left"/>
    </xf>
    <xf numFmtId="0" fontId="0" fillId="0" borderId="0" xfId="0" applyAlignment="1">
      <alignment horizontal="center" vertical="center"/>
    </xf>
    <xf numFmtId="0" fontId="0" fillId="0" borderId="0" xfId="0"/>
    <xf numFmtId="0" fontId="21" fillId="0" borderId="0" xfId="0" applyFont="1" applyAlignment="1">
      <alignment horizontal="center" vertical="center" wrapText="1"/>
    </xf>
    <xf numFmtId="0" fontId="0" fillId="0" borderId="0" xfId="0" applyAlignment="1">
      <alignment vertical="center" wrapText="1"/>
    </xf>
  </cellXfs>
  <cellStyles count="9">
    <cellStyle name="Currency" xfId="1" builtinId="4"/>
    <cellStyle name="Followed Hyperlink" xfId="8" builtinId="9" hidden="1"/>
    <cellStyle name="Good" xfId="2" builtinId="26"/>
    <cellStyle name="Heading 1" xfId="3" builtinId="16"/>
    <cellStyle name="Heading 2" xfId="4" builtinId="17"/>
    <cellStyle name="Hyperlink" xfId="7" builtinId="8" hidden="1"/>
    <cellStyle name="Normal" xfId="0" builtinId="0"/>
    <cellStyle name="Percent" xfId="5" builtinId="5"/>
    <cellStyle name="Warning Text" xfId="6"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69"/>
  <sheetViews>
    <sheetView tabSelected="1" zoomScale="87" zoomScaleNormal="87" zoomScalePageLayoutView="87" workbookViewId="0">
      <pane ySplit="9945" topLeftCell="A41"/>
      <selection activeCell="D13" sqref="D13"/>
      <selection pane="bottomLeft" activeCell="G45" sqref="G45"/>
    </sheetView>
  </sheetViews>
  <sheetFormatPr defaultColWidth="8.85546875" defaultRowHeight="15" x14ac:dyDescent="0.25"/>
  <cols>
    <col min="1" max="1" width="21.42578125" customWidth="1"/>
    <col min="2" max="2" width="13.42578125" customWidth="1"/>
    <col min="3" max="3" width="11.85546875" customWidth="1"/>
    <col min="4" max="4" width="11.42578125" customWidth="1"/>
    <col min="5" max="5" width="28.42578125" customWidth="1"/>
    <col min="6" max="6" width="22.42578125" customWidth="1"/>
    <col min="7" max="7" width="11.7109375" customWidth="1"/>
    <col min="8" max="8" width="5.42578125" customWidth="1"/>
    <col min="9" max="9" width="22.140625" bestFit="1" customWidth="1"/>
    <col min="10" max="10" width="11.85546875" customWidth="1"/>
    <col min="11" max="11" width="5.85546875" customWidth="1"/>
    <col min="12" max="12" width="19.140625" customWidth="1"/>
    <col min="13" max="13" width="11" customWidth="1"/>
    <col min="14" max="14" width="11.140625" customWidth="1"/>
    <col min="15" max="15" width="14.42578125" customWidth="1"/>
    <col min="16" max="16" width="10.42578125" customWidth="1"/>
    <col min="17" max="17" width="13.140625" customWidth="1"/>
    <col min="18" max="18" width="12" bestFit="1" customWidth="1"/>
    <col min="19" max="19" width="10.42578125" customWidth="1"/>
  </cols>
  <sheetData>
    <row r="1" spans="1:16" ht="15.75" x14ac:dyDescent="0.25">
      <c r="A1" s="125" t="s">
        <v>65</v>
      </c>
      <c r="B1" s="125"/>
      <c r="C1" s="125"/>
      <c r="D1" s="125"/>
      <c r="E1" s="125"/>
      <c r="F1" s="125"/>
      <c r="G1" s="125"/>
      <c r="H1" s="108"/>
      <c r="I1" s="108"/>
      <c r="J1" s="1"/>
      <c r="K1" s="1"/>
      <c r="L1" s="1"/>
      <c r="M1" s="1"/>
      <c r="N1" s="1"/>
      <c r="O1" s="1"/>
    </row>
    <row r="2" spans="1:16" ht="15.75" x14ac:dyDescent="0.25">
      <c r="A2" s="126" t="s">
        <v>0</v>
      </c>
      <c r="B2" s="126"/>
      <c r="C2" s="126"/>
      <c r="D2" s="126"/>
      <c r="E2" s="126"/>
      <c r="F2" s="126"/>
      <c r="G2" s="126"/>
      <c r="H2" s="108"/>
      <c r="I2" s="108"/>
      <c r="J2" s="1"/>
      <c r="K2" s="1"/>
      <c r="L2" s="1"/>
      <c r="M2" s="1"/>
      <c r="N2" s="1"/>
      <c r="O2" s="1"/>
    </row>
    <row r="3" spans="1:16" ht="15.75" x14ac:dyDescent="0.25">
      <c r="A3" s="132" t="s">
        <v>64</v>
      </c>
      <c r="B3" s="132"/>
      <c r="C3" s="132"/>
      <c r="D3" s="132"/>
      <c r="E3" s="132"/>
      <c r="F3" s="132"/>
      <c r="G3" s="132"/>
      <c r="H3" s="132"/>
      <c r="I3" s="132"/>
      <c r="J3" s="1"/>
      <c r="K3" s="1"/>
      <c r="L3" s="1"/>
      <c r="M3" s="1"/>
      <c r="N3" s="1"/>
      <c r="O3" s="1"/>
    </row>
    <row r="4" spans="1:16" x14ac:dyDescent="0.25">
      <c r="A4" s="1"/>
      <c r="B4" s="2"/>
      <c r="C4" s="1"/>
      <c r="D4" s="3"/>
      <c r="E4" s="1"/>
      <c r="F4" s="1"/>
      <c r="G4" s="1"/>
      <c r="H4" s="1"/>
      <c r="I4" s="1"/>
      <c r="J4" s="1"/>
      <c r="K4" s="1"/>
      <c r="L4" s="1"/>
      <c r="M4" s="1"/>
      <c r="N4" s="1"/>
      <c r="O4" s="1"/>
    </row>
    <row r="5" spans="1:16" ht="17.25" x14ac:dyDescent="0.3">
      <c r="A5" s="130"/>
      <c r="B5" s="130"/>
      <c r="C5" s="1"/>
      <c r="D5" s="1"/>
      <c r="E5" s="1"/>
      <c r="F5" s="131" t="s">
        <v>1</v>
      </c>
      <c r="G5" s="131"/>
      <c r="H5" s="1"/>
      <c r="I5" s="1"/>
      <c r="J5" s="1"/>
      <c r="K5" s="1"/>
      <c r="L5" s="1"/>
      <c r="M5" s="1"/>
      <c r="N5" s="1"/>
      <c r="O5" s="1"/>
    </row>
    <row r="6" spans="1:16" x14ac:dyDescent="0.25">
      <c r="B6" s="2"/>
      <c r="C6" s="6"/>
      <c r="D6" s="1"/>
      <c r="E6" s="7"/>
      <c r="F6" s="7"/>
      <c r="G6" s="7"/>
      <c r="H6" s="7"/>
      <c r="I6" s="8"/>
      <c r="J6" s="1"/>
      <c r="K6" s="9"/>
      <c r="L6" s="6"/>
      <c r="M6" s="6"/>
      <c r="N6" s="6"/>
      <c r="O6" s="6"/>
    </row>
    <row r="7" spans="1:16" x14ac:dyDescent="0.25">
      <c r="A7" s="10" t="s">
        <v>105</v>
      </c>
      <c r="B7" s="14"/>
      <c r="C7" s="10"/>
      <c r="D7" s="13"/>
      <c r="E7" s="7"/>
      <c r="F7" s="7"/>
      <c r="G7" s="7"/>
      <c r="H7" s="7"/>
      <c r="I7" s="8"/>
      <c r="J7" s="1"/>
      <c r="K7" s="9"/>
      <c r="L7" s="6"/>
      <c r="M7" s="6"/>
      <c r="N7" s="6"/>
      <c r="O7" s="6"/>
    </row>
    <row r="8" spans="1:16" x14ac:dyDescent="0.25">
      <c r="A8" s="10" t="s">
        <v>2</v>
      </c>
      <c r="B8" s="56" t="s">
        <v>3</v>
      </c>
      <c r="C8" s="55" t="s">
        <v>4</v>
      </c>
      <c r="D8" s="55" t="s">
        <v>5</v>
      </c>
      <c r="E8" s="11"/>
      <c r="F8" s="127" t="s">
        <v>58</v>
      </c>
      <c r="G8" s="127"/>
      <c r="H8" s="12"/>
      <c r="I8" s="128" t="s">
        <v>13</v>
      </c>
      <c r="J8" s="129"/>
      <c r="K8" s="4"/>
      <c r="L8" s="115" t="s">
        <v>12</v>
      </c>
      <c r="M8" s="116"/>
      <c r="N8" s="117"/>
      <c r="O8" s="105" t="s">
        <v>157</v>
      </c>
    </row>
    <row r="9" spans="1:16" x14ac:dyDescent="0.25">
      <c r="A9" s="46" t="s">
        <v>75</v>
      </c>
      <c r="B9" s="88">
        <f>M20*(141.5/137.8)</f>
        <v>817.71186502177056</v>
      </c>
      <c r="C9" s="48">
        <f>B9*12</f>
        <v>9812.5423802612459</v>
      </c>
      <c r="D9" s="49">
        <f>C9/C20</f>
        <v>0.15428498029892554</v>
      </c>
      <c r="E9" s="16"/>
      <c r="F9" s="17" t="s">
        <v>7</v>
      </c>
      <c r="G9" s="82">
        <v>1200</v>
      </c>
      <c r="H9" s="12"/>
      <c r="I9" s="17" t="s">
        <v>53</v>
      </c>
      <c r="J9" s="18">
        <v>403</v>
      </c>
      <c r="K9" s="19"/>
      <c r="L9" s="119" t="s">
        <v>72</v>
      </c>
      <c r="M9" s="120"/>
      <c r="N9" s="48">
        <f>781*12</f>
        <v>9372</v>
      </c>
      <c r="O9" s="98">
        <v>7000</v>
      </c>
      <c r="P9" s="78"/>
    </row>
    <row r="10" spans="1:16" x14ac:dyDescent="0.25">
      <c r="A10" s="47" t="s">
        <v>76</v>
      </c>
      <c r="B10" s="48">
        <f>C10/12</f>
        <v>225.68030139935411</v>
      </c>
      <c r="C10" s="48">
        <v>2708.1636167922493</v>
      </c>
      <c r="D10" s="49">
        <f>C10/C20</f>
        <v>4.2581112424396474E-2</v>
      </c>
      <c r="E10" s="16"/>
      <c r="F10" s="20" t="s">
        <v>8</v>
      </c>
      <c r="G10" s="89">
        <v>20</v>
      </c>
      <c r="H10" s="12"/>
      <c r="I10" s="17" t="s">
        <v>10</v>
      </c>
      <c r="J10" s="18">
        <f>AVERAGE(30,27.5,37.5)</f>
        <v>31.666666666666668</v>
      </c>
      <c r="K10" s="19"/>
      <c r="L10" s="119" t="s">
        <v>55</v>
      </c>
      <c r="M10" s="120"/>
      <c r="N10" s="48">
        <f>AVERAGE(294,575,200)*10</f>
        <v>3563.333333333333</v>
      </c>
      <c r="O10" s="106">
        <f>N10+N11</f>
        <v>4220.583333333333</v>
      </c>
      <c r="P10" s="78"/>
    </row>
    <row r="11" spans="1:16" x14ac:dyDescent="0.25">
      <c r="A11" s="46" t="s">
        <v>58</v>
      </c>
      <c r="B11" s="48">
        <f>G11</f>
        <v>1220</v>
      </c>
      <c r="C11" s="48">
        <f>B11*12</f>
        <v>14640</v>
      </c>
      <c r="D11" s="49">
        <f>C11/C20</f>
        <v>0.23018826559362429</v>
      </c>
      <c r="E11" s="22"/>
      <c r="F11" s="86" t="s">
        <v>9</v>
      </c>
      <c r="G11" s="90">
        <f>SUM(G9:G10)</f>
        <v>1220</v>
      </c>
      <c r="H11" s="12"/>
      <c r="I11" s="61" t="s">
        <v>9</v>
      </c>
      <c r="J11" s="59">
        <f>(J9*2)+J10</f>
        <v>837.66666666666663</v>
      </c>
      <c r="K11" s="19"/>
      <c r="L11" s="119" t="s">
        <v>56</v>
      </c>
      <c r="M11" s="120"/>
      <c r="N11" s="51">
        <f>AVERAGE(605,640,700,684)</f>
        <v>657.25</v>
      </c>
      <c r="O11" s="76"/>
    </row>
    <row r="12" spans="1:16" x14ac:dyDescent="0.25">
      <c r="A12" s="46" t="s">
        <v>77</v>
      </c>
      <c r="B12" s="48">
        <f>G19</f>
        <v>181.38064500000002</v>
      </c>
      <c r="C12" s="48">
        <f>B12*12</f>
        <v>2176.5677400000004</v>
      </c>
      <c r="D12" s="49">
        <f>C12/C20</f>
        <v>3.4222701708854823E-2</v>
      </c>
      <c r="E12" s="23"/>
      <c r="F12" s="91"/>
      <c r="G12" s="91"/>
      <c r="H12" s="12"/>
      <c r="K12" s="19"/>
      <c r="L12" s="118" t="s">
        <v>54</v>
      </c>
      <c r="M12" s="118"/>
      <c r="N12" s="60">
        <f>SUM(N9:N11)</f>
        <v>13592.583333333332</v>
      </c>
      <c r="O12" s="107">
        <f>SUM(O9:O11)</f>
        <v>11220.583333333332</v>
      </c>
    </row>
    <row r="13" spans="1:16" x14ac:dyDescent="0.25">
      <c r="A13" s="46" t="s">
        <v>79</v>
      </c>
      <c r="B13" s="48">
        <f>C13/12</f>
        <v>476.16485260770969</v>
      </c>
      <c r="C13" s="48">
        <f>G29</f>
        <v>5713.9782312925163</v>
      </c>
      <c r="D13" s="49">
        <f>C13/C20</f>
        <v>8.9842263572469216E-2</v>
      </c>
      <c r="E13" s="25"/>
      <c r="F13" s="121" t="s">
        <v>57</v>
      </c>
      <c r="G13" s="122"/>
      <c r="H13" s="2"/>
      <c r="K13" s="19"/>
    </row>
    <row r="14" spans="1:16" x14ac:dyDescent="0.25">
      <c r="A14" s="46" t="s">
        <v>12</v>
      </c>
      <c r="B14" s="48">
        <f>C14/12</f>
        <v>1132.7152777777776</v>
      </c>
      <c r="C14" s="48">
        <f>N12</f>
        <v>13592.583333333332</v>
      </c>
      <c r="D14" s="49">
        <f>C14/C20</f>
        <v>0.21371947967464508</v>
      </c>
      <c r="E14" s="26"/>
      <c r="F14" s="87" t="s">
        <v>14</v>
      </c>
      <c r="G14" s="18">
        <v>10.83</v>
      </c>
      <c r="H14" s="2"/>
      <c r="I14" s="113" t="s">
        <v>44</v>
      </c>
      <c r="J14" s="114"/>
      <c r="K14" s="19"/>
    </row>
    <row r="15" spans="1:16" x14ac:dyDescent="0.25">
      <c r="A15" s="46" t="s">
        <v>43</v>
      </c>
      <c r="B15" s="48">
        <f>AVERAGE(134,155,177)</f>
        <v>155.33333333333334</v>
      </c>
      <c r="C15" s="48">
        <f>B15*12</f>
        <v>1864</v>
      </c>
      <c r="D15" s="49">
        <f>C15/C20</f>
        <v>2.9308123433505168E-2</v>
      </c>
      <c r="E15" s="26"/>
      <c r="F15" s="85" t="s">
        <v>63</v>
      </c>
      <c r="G15" s="18">
        <f>0.14947*1100</f>
        <v>164.417</v>
      </c>
      <c r="H15" s="2"/>
      <c r="I15" s="21" t="s">
        <v>11</v>
      </c>
      <c r="J15" s="18">
        <f>J9*2</f>
        <v>806</v>
      </c>
      <c r="K15" s="19"/>
      <c r="L15" s="113" t="s">
        <v>71</v>
      </c>
      <c r="M15" s="114"/>
    </row>
    <row r="16" spans="1:16" x14ac:dyDescent="0.25">
      <c r="A16" s="46" t="s">
        <v>62</v>
      </c>
      <c r="B16" s="48">
        <f>C16/12</f>
        <v>234.5</v>
      </c>
      <c r="C16" s="48">
        <f>(C41*C42)*2+(B41*B42)*2</f>
        <v>2814</v>
      </c>
      <c r="D16" s="49">
        <f>C16/C20</f>
        <v>4.4245203509594176E-2</v>
      </c>
      <c r="E16" s="1"/>
      <c r="F16" s="85" t="s">
        <v>15</v>
      </c>
      <c r="G16" s="18">
        <f>SUM(G14:G15)*0.15</f>
        <v>26.287050000000001</v>
      </c>
      <c r="H16" s="1"/>
      <c r="I16" s="21" t="s">
        <v>48</v>
      </c>
      <c r="J16" s="18">
        <f>120*8</f>
        <v>960</v>
      </c>
      <c r="K16" s="1"/>
      <c r="L16" s="76" t="s">
        <v>69</v>
      </c>
      <c r="M16" s="76">
        <v>220.47</v>
      </c>
    </row>
    <row r="17" spans="1:18" x14ac:dyDescent="0.25">
      <c r="A17" s="46" t="s">
        <v>13</v>
      </c>
      <c r="B17" s="48">
        <f>C17/12</f>
        <v>69.805555555555557</v>
      </c>
      <c r="C17" s="48">
        <f>J11</f>
        <v>837.66666666666663</v>
      </c>
      <c r="D17" s="49">
        <f>C17/C20</f>
        <v>1.3170835870600587E-2</v>
      </c>
      <c r="E17" s="11"/>
      <c r="F17" s="13" t="s">
        <v>9</v>
      </c>
      <c r="G17" s="18">
        <f>SUM(G14:G16)</f>
        <v>201.53405000000001</v>
      </c>
      <c r="H17" s="2"/>
      <c r="I17" s="21" t="s">
        <v>47</v>
      </c>
      <c r="J17" s="18">
        <f>20*8</f>
        <v>160</v>
      </c>
      <c r="K17" s="19"/>
      <c r="L17" s="76" t="s">
        <v>68</v>
      </c>
      <c r="M17" s="76">
        <v>259.95</v>
      </c>
    </row>
    <row r="18" spans="1:18" x14ac:dyDescent="0.25">
      <c r="A18" s="46" t="s">
        <v>74</v>
      </c>
      <c r="B18" s="48">
        <f>C18/12</f>
        <v>393.35884674076397</v>
      </c>
      <c r="C18" s="48">
        <f>G22</f>
        <v>4720.3061608891676</v>
      </c>
      <c r="D18" s="64">
        <f>C18/C20</f>
        <v>7.4218516956692404E-2</v>
      </c>
      <c r="E18" s="16"/>
      <c r="F18" s="13" t="s">
        <v>59</v>
      </c>
      <c r="G18" s="14">
        <f>-(G17*10%)</f>
        <v>-20.153405000000003</v>
      </c>
      <c r="H18" s="5"/>
      <c r="I18" s="62" t="s">
        <v>9</v>
      </c>
      <c r="J18" s="59">
        <f>SUM(J15:J17)</f>
        <v>1926</v>
      </c>
      <c r="K18" s="27"/>
      <c r="L18" s="13" t="s">
        <v>66</v>
      </c>
      <c r="M18" s="13">
        <v>159</v>
      </c>
    </row>
    <row r="19" spans="1:18" x14ac:dyDescent="0.25">
      <c r="A19" s="46" t="s">
        <v>78</v>
      </c>
      <c r="B19" s="48">
        <f>C19/12</f>
        <v>393.35884674076397</v>
      </c>
      <c r="C19" s="92">
        <f>C18</f>
        <v>4720.3061608891676</v>
      </c>
      <c r="D19" s="49">
        <f>C19/C20</f>
        <v>7.4218516956692404E-2</v>
      </c>
      <c r="E19" s="16"/>
      <c r="F19" s="84" t="s">
        <v>54</v>
      </c>
      <c r="G19" s="63">
        <f>SUM(G17:G18)</f>
        <v>181.38064500000002</v>
      </c>
      <c r="H19" s="5"/>
      <c r="I19" s="29"/>
      <c r="J19" s="2"/>
      <c r="K19" s="27"/>
      <c r="L19" s="13" t="s">
        <v>67</v>
      </c>
      <c r="M19" s="13">
        <v>156.91</v>
      </c>
    </row>
    <row r="20" spans="1:18" x14ac:dyDescent="0.25">
      <c r="A20" s="10" t="s">
        <v>9</v>
      </c>
      <c r="B20" s="63">
        <f>SUM(B9:B19)</f>
        <v>5300.0095241770287</v>
      </c>
      <c r="C20" s="63">
        <f>SUM(C9:C19)</f>
        <v>63600.114290124337</v>
      </c>
      <c r="D20" s="65">
        <f>C20/C20</f>
        <v>1</v>
      </c>
      <c r="E20" s="16"/>
      <c r="F20" s="93"/>
      <c r="G20" s="8"/>
      <c r="H20" s="29"/>
      <c r="I20" s="123" t="s">
        <v>45</v>
      </c>
      <c r="J20" s="124"/>
      <c r="K20" s="19"/>
      <c r="L20" s="15" t="s">
        <v>70</v>
      </c>
      <c r="M20" s="15">
        <f>SUM(M16:M19)</f>
        <v>796.32999999999993</v>
      </c>
    </row>
    <row r="21" spans="1:18" x14ac:dyDescent="0.25">
      <c r="A21" s="7"/>
      <c r="B21" s="29"/>
      <c r="C21" s="29"/>
      <c r="D21" s="29"/>
      <c r="E21" s="16"/>
      <c r="F21" s="10" t="s">
        <v>73</v>
      </c>
      <c r="G21" s="10"/>
      <c r="H21" s="30"/>
      <c r="I21" s="21" t="s">
        <v>11</v>
      </c>
      <c r="J21" s="18">
        <f>J9*2</f>
        <v>806</v>
      </c>
      <c r="K21" s="31"/>
    </row>
    <row r="22" spans="1:18" ht="17.25" x14ac:dyDescent="0.3">
      <c r="A22" s="112" t="s">
        <v>16</v>
      </c>
      <c r="B22" s="112"/>
      <c r="C22" s="112"/>
      <c r="D22" s="112"/>
      <c r="E22" s="28"/>
      <c r="F22" s="104" t="s">
        <v>74</v>
      </c>
      <c r="G22" s="24">
        <f>((C10*75.4%)+(C9*75.4%))/2</f>
        <v>4720.3061608891676</v>
      </c>
      <c r="H22" s="2"/>
      <c r="I22" s="21" t="s">
        <v>46</v>
      </c>
      <c r="J22" s="18">
        <f>60*8</f>
        <v>480</v>
      </c>
      <c r="K22" s="31"/>
      <c r="M22" s="1"/>
      <c r="N22" s="1"/>
    </row>
    <row r="23" spans="1:18" x14ac:dyDescent="0.25">
      <c r="A23" s="1"/>
      <c r="B23" s="2"/>
      <c r="C23" s="6"/>
      <c r="D23" s="1"/>
      <c r="E23" s="29"/>
      <c r="F23" s="13" t="s">
        <v>78</v>
      </c>
      <c r="G23" s="96">
        <f>G22</f>
        <v>4720.3061608891676</v>
      </c>
      <c r="H23" s="29"/>
      <c r="I23" s="62" t="s">
        <v>9</v>
      </c>
      <c r="J23" s="59">
        <f>SUM(J21:J22)</f>
        <v>1286</v>
      </c>
      <c r="K23" s="31"/>
      <c r="M23" s="1"/>
      <c r="N23" s="1"/>
      <c r="O23" s="27"/>
      <c r="R23" s="71"/>
    </row>
    <row r="24" spans="1:18" x14ac:dyDescent="0.25">
      <c r="A24" s="33" t="s">
        <v>6</v>
      </c>
      <c r="B24" s="83" t="s">
        <v>3</v>
      </c>
      <c r="C24" s="84" t="s">
        <v>4</v>
      </c>
      <c r="D24" s="8"/>
      <c r="E24" s="1"/>
      <c r="F24" s="10"/>
      <c r="G24" s="77"/>
      <c r="H24" s="1"/>
      <c r="K24" s="31"/>
      <c r="M24" s="1"/>
      <c r="N24" s="1"/>
      <c r="O24" s="27"/>
    </row>
    <row r="25" spans="1:18" x14ac:dyDescent="0.25">
      <c r="A25" s="46" t="s">
        <v>50</v>
      </c>
      <c r="B25" s="48">
        <f>C25/12</f>
        <v>181.03194444444443</v>
      </c>
      <c r="C25" s="48">
        <f>1446*2-((D45-C27-43953)*0.04)</f>
        <v>2172.3833333333332</v>
      </c>
      <c r="D25" s="16"/>
      <c r="E25" s="79"/>
      <c r="F25" s="1"/>
      <c r="G25" s="1"/>
      <c r="H25" s="1"/>
      <c r="I25" s="1"/>
      <c r="J25" s="1"/>
      <c r="K25" s="31"/>
      <c r="L25" s="74"/>
      <c r="M25" s="75"/>
      <c r="N25" s="6"/>
      <c r="O25" s="27"/>
    </row>
    <row r="26" spans="1:18" x14ac:dyDescent="0.25">
      <c r="A26" s="46" t="s">
        <v>49</v>
      </c>
      <c r="B26" s="48">
        <v>0</v>
      </c>
      <c r="C26" s="48">
        <f>B26*12</f>
        <v>0</v>
      </c>
      <c r="D26" s="16"/>
      <c r="E26" s="8"/>
      <c r="F26" s="10" t="s">
        <v>82</v>
      </c>
      <c r="G26" s="10"/>
      <c r="H26" s="1"/>
      <c r="K26" s="32"/>
      <c r="L26" s="78"/>
      <c r="M26" s="1"/>
      <c r="N26" s="1"/>
      <c r="O26" s="27"/>
    </row>
    <row r="27" spans="1:18" x14ac:dyDescent="0.25">
      <c r="A27" s="46" t="s">
        <v>18</v>
      </c>
      <c r="B27" s="48">
        <v>100</v>
      </c>
      <c r="C27" s="48">
        <f>B27*12</f>
        <v>1200</v>
      </c>
      <c r="D27" s="16"/>
      <c r="E27" s="94"/>
      <c r="F27" s="46" t="s">
        <v>81</v>
      </c>
      <c r="G27" s="48">
        <f>78*12</f>
        <v>936</v>
      </c>
      <c r="H27" s="34"/>
      <c r="I27" s="97"/>
      <c r="K27" s="1"/>
      <c r="L27" s="78"/>
      <c r="M27" s="1"/>
      <c r="N27" s="1"/>
      <c r="O27" s="27"/>
    </row>
    <row r="28" spans="1:18" x14ac:dyDescent="0.25">
      <c r="A28" s="46" t="s">
        <v>17</v>
      </c>
      <c r="B28" s="48">
        <v>0</v>
      </c>
      <c r="C28" s="48">
        <v>0</v>
      </c>
      <c r="D28" s="16"/>
      <c r="E28" s="95"/>
      <c r="F28" s="13" t="s">
        <v>83</v>
      </c>
      <c r="G28" s="98">
        <f>4633*(151.6/147)</f>
        <v>4777.9782312925163</v>
      </c>
      <c r="H28" s="29"/>
      <c r="K28" s="1"/>
      <c r="L28" s="79"/>
      <c r="M28" s="1"/>
      <c r="N28" s="1"/>
      <c r="O28" s="27"/>
    </row>
    <row r="29" spans="1:18" x14ac:dyDescent="0.25">
      <c r="A29" s="46" t="s">
        <v>51</v>
      </c>
      <c r="B29" s="48">
        <v>0</v>
      </c>
      <c r="C29" s="48">
        <v>0</v>
      </c>
      <c r="D29" s="35"/>
      <c r="E29" s="94"/>
      <c r="F29" s="13" t="s">
        <v>9</v>
      </c>
      <c r="G29" s="98">
        <f>SUM(G27:G28)</f>
        <v>5713.9782312925163</v>
      </c>
      <c r="H29" s="7"/>
      <c r="I29" s="74"/>
      <c r="J29" s="74"/>
      <c r="K29" s="1"/>
      <c r="L29" s="1"/>
      <c r="M29" s="1"/>
      <c r="N29" s="1"/>
      <c r="O29" s="27"/>
    </row>
    <row r="30" spans="1:18" x14ac:dyDescent="0.25">
      <c r="A30" s="46" t="s">
        <v>60</v>
      </c>
      <c r="B30" s="48">
        <v>0</v>
      </c>
      <c r="C30" s="48"/>
      <c r="D30" s="35"/>
      <c r="E30" s="68"/>
      <c r="F30" s="8"/>
      <c r="G30" s="30"/>
      <c r="H30" s="1"/>
      <c r="I30" s="74"/>
      <c r="J30" s="74"/>
      <c r="K30" s="1"/>
      <c r="L30" s="1"/>
      <c r="M30" s="1"/>
      <c r="N30" s="1"/>
      <c r="O30" s="1"/>
    </row>
    <row r="31" spans="1:18" x14ac:dyDescent="0.25">
      <c r="A31" s="10" t="s">
        <v>9</v>
      </c>
      <c r="B31" s="63">
        <f>SUM(B25:B30)</f>
        <v>281.03194444444443</v>
      </c>
      <c r="C31" s="63">
        <f>SUM(C25:C30)</f>
        <v>3372.3833333333332</v>
      </c>
      <c r="D31" s="1"/>
      <c r="E31" s="68"/>
      <c r="H31" s="2"/>
      <c r="L31" s="1"/>
      <c r="M31" s="1"/>
      <c r="N31" s="1"/>
      <c r="O31" s="1"/>
    </row>
    <row r="32" spans="1:18" x14ac:dyDescent="0.25">
      <c r="A32" s="7"/>
      <c r="B32" s="29"/>
      <c r="C32" s="29"/>
      <c r="D32" s="1"/>
      <c r="E32" s="68"/>
      <c r="H32" s="72"/>
      <c r="L32" s="1"/>
      <c r="M32" s="1"/>
      <c r="N32" s="1"/>
      <c r="O32" s="9"/>
    </row>
    <row r="33" spans="1:15" ht="17.25" x14ac:dyDescent="0.3">
      <c r="A33" s="54" t="s">
        <v>19</v>
      </c>
      <c r="B33" s="54"/>
      <c r="C33" s="54"/>
      <c r="D33" s="54"/>
      <c r="E33" s="1"/>
      <c r="F33" s="1"/>
      <c r="G33" s="29"/>
      <c r="H33" s="2"/>
      <c r="L33" s="1"/>
      <c r="M33" s="1"/>
      <c r="N33" s="1"/>
      <c r="O33" s="1"/>
    </row>
    <row r="34" spans="1:15" x14ac:dyDescent="0.25">
      <c r="A34" s="57"/>
      <c r="B34" s="58"/>
      <c r="C34" s="55" t="s">
        <v>4</v>
      </c>
      <c r="D34" s="1"/>
      <c r="E34" s="8"/>
      <c r="F34" s="1"/>
      <c r="G34" s="1"/>
      <c r="H34" s="2"/>
      <c r="K34" s="74"/>
      <c r="L34" s="1"/>
      <c r="M34" s="1"/>
      <c r="N34" s="1"/>
      <c r="O34" s="1"/>
    </row>
    <row r="35" spans="1:15" x14ac:dyDescent="0.25">
      <c r="A35" s="52" t="s">
        <v>20</v>
      </c>
      <c r="B35" s="53"/>
      <c r="C35" s="24">
        <f>C31+D51</f>
        <v>63644.01777429333</v>
      </c>
      <c r="D35" s="9"/>
      <c r="E35" s="8"/>
      <c r="F35" s="37"/>
      <c r="G35" s="79"/>
      <c r="H35" s="1"/>
      <c r="K35" s="74"/>
      <c r="L35" s="27"/>
      <c r="M35" s="1"/>
      <c r="N35" s="1"/>
      <c r="O35" s="1"/>
    </row>
    <row r="36" spans="1:15" x14ac:dyDescent="0.25">
      <c r="A36" s="52" t="s">
        <v>21</v>
      </c>
      <c r="B36" s="53"/>
      <c r="C36" s="24">
        <f>C20</f>
        <v>63600.114290124337</v>
      </c>
      <c r="D36" s="1"/>
      <c r="E36" s="8"/>
      <c r="F36" s="29"/>
      <c r="G36" s="37"/>
      <c r="H36" s="1"/>
      <c r="L36" s="1"/>
      <c r="M36" s="27"/>
      <c r="N36" s="27"/>
      <c r="O36" s="1"/>
    </row>
    <row r="37" spans="1:15" x14ac:dyDescent="0.25">
      <c r="A37" s="69" t="s">
        <v>22</v>
      </c>
      <c r="B37" s="70"/>
      <c r="C37" s="63">
        <f>C35-C36</f>
        <v>43.9034841689936</v>
      </c>
      <c r="D37" s="1"/>
      <c r="E37" s="8"/>
      <c r="F37" s="40"/>
      <c r="G37" s="29"/>
      <c r="H37" s="8"/>
      <c r="L37" s="1"/>
      <c r="M37" s="1"/>
      <c r="N37" s="1"/>
      <c r="O37" s="1"/>
    </row>
    <row r="38" spans="1:15" x14ac:dyDescent="0.25">
      <c r="A38" s="7"/>
      <c r="B38" s="29"/>
      <c r="C38" s="29"/>
      <c r="D38" s="1"/>
      <c r="E38" s="7"/>
      <c r="F38" s="81"/>
      <c r="G38" s="40"/>
      <c r="H38" s="30"/>
      <c r="K38" s="1"/>
      <c r="L38" s="1"/>
      <c r="M38" s="1"/>
      <c r="N38" s="1"/>
      <c r="O38" s="1"/>
    </row>
    <row r="39" spans="1:15" ht="17.25" x14ac:dyDescent="0.3">
      <c r="A39" s="54" t="s">
        <v>23</v>
      </c>
      <c r="B39" s="54"/>
      <c r="C39" s="54"/>
      <c r="D39" s="1"/>
      <c r="E39" s="7"/>
      <c r="F39" s="29"/>
      <c r="G39" s="36"/>
      <c r="H39" s="30"/>
      <c r="I39" s="27"/>
      <c r="J39" s="27"/>
      <c r="K39" s="1"/>
      <c r="L39" s="1"/>
      <c r="M39" s="1"/>
      <c r="N39" s="1"/>
      <c r="O39" s="1"/>
    </row>
    <row r="40" spans="1:15" x14ac:dyDescent="0.25">
      <c r="A40" s="55"/>
      <c r="B40" s="56" t="s">
        <v>24</v>
      </c>
      <c r="C40" s="55" t="s">
        <v>25</v>
      </c>
      <c r="D40" s="55" t="s">
        <v>9</v>
      </c>
      <c r="E40" s="1"/>
      <c r="F40" s="7"/>
      <c r="G40" s="29"/>
      <c r="H40" s="30"/>
      <c r="I40" s="1"/>
      <c r="J40" s="1"/>
      <c r="K40" s="1"/>
      <c r="L40" s="1"/>
      <c r="M40" s="1"/>
      <c r="N40" s="1"/>
      <c r="O40" s="1"/>
    </row>
    <row r="41" spans="1:15" x14ac:dyDescent="0.25">
      <c r="A41" s="13" t="s">
        <v>26</v>
      </c>
      <c r="B41" s="41">
        <v>35</v>
      </c>
      <c r="C41" s="17">
        <v>35</v>
      </c>
      <c r="D41" s="13">
        <f>B41+C41</f>
        <v>70</v>
      </c>
      <c r="E41" s="1"/>
      <c r="G41" s="29"/>
      <c r="H41" s="30"/>
      <c r="I41" s="1"/>
      <c r="J41" s="1"/>
      <c r="K41" s="1"/>
      <c r="L41" s="1"/>
      <c r="M41" s="1"/>
      <c r="N41" s="1"/>
      <c r="O41" s="27"/>
    </row>
    <row r="42" spans="1:15" x14ac:dyDescent="0.25">
      <c r="A42" s="10" t="s">
        <v>27</v>
      </c>
      <c r="B42" s="63">
        <v>20.100000000000001</v>
      </c>
      <c r="C42" s="67">
        <f>B42</f>
        <v>20.100000000000001</v>
      </c>
      <c r="D42" s="13"/>
      <c r="E42" s="38"/>
      <c r="G42" s="42"/>
      <c r="H42" s="29"/>
      <c r="I42" s="1"/>
      <c r="J42" s="1"/>
      <c r="K42" s="1"/>
      <c r="L42" s="1"/>
      <c r="M42" s="1"/>
      <c r="N42" s="1"/>
      <c r="O42" s="1"/>
    </row>
    <row r="43" spans="1:15" x14ac:dyDescent="0.25">
      <c r="A43" s="46" t="s">
        <v>28</v>
      </c>
      <c r="B43" s="48">
        <f>(B42*B41)*52</f>
        <v>36582</v>
      </c>
      <c r="C43" s="48">
        <f>B43</f>
        <v>36582</v>
      </c>
      <c r="D43" s="48">
        <f>B43+C43</f>
        <v>73164</v>
      </c>
      <c r="E43" s="39"/>
      <c r="G43" s="29"/>
      <c r="H43" s="1"/>
      <c r="I43" s="1"/>
      <c r="J43" s="1"/>
      <c r="K43" s="1"/>
      <c r="L43" s="1"/>
      <c r="M43" s="1"/>
      <c r="N43" s="1"/>
      <c r="O43" s="1"/>
    </row>
    <row r="44" spans="1:15" x14ac:dyDescent="0.25">
      <c r="A44" s="43" t="s">
        <v>61</v>
      </c>
      <c r="B44" s="45">
        <f>-(O12-C27)</f>
        <v>-10020.583333333332</v>
      </c>
      <c r="C44" s="44"/>
      <c r="D44" s="44"/>
      <c r="E44" s="38"/>
      <c r="G44" s="7"/>
      <c r="H44" s="1"/>
      <c r="I44" s="1"/>
      <c r="J44" s="1"/>
      <c r="K44" s="1"/>
      <c r="L44" s="1"/>
      <c r="M44" s="1"/>
      <c r="N44" s="1"/>
      <c r="O44" s="1"/>
    </row>
    <row r="45" spans="1:15" x14ac:dyDescent="0.25">
      <c r="A45" s="50" t="s">
        <v>29</v>
      </c>
      <c r="B45" s="66">
        <f>B43+B44</f>
        <v>26561.416666666668</v>
      </c>
      <c r="C45" s="66">
        <f>C43+C44</f>
        <v>36582</v>
      </c>
      <c r="D45" s="66">
        <f t="shared" ref="D45:D52" si="0">B45+C45</f>
        <v>63143.416666666672</v>
      </c>
      <c r="E45" s="7"/>
      <c r="G45" s="7"/>
      <c r="H45" s="37"/>
      <c r="I45" s="1"/>
      <c r="J45" s="2"/>
      <c r="K45" s="27"/>
      <c r="L45" s="1"/>
      <c r="M45" s="1"/>
      <c r="N45" s="1"/>
      <c r="O45" s="1"/>
    </row>
    <row r="46" spans="1:15" x14ac:dyDescent="0.25">
      <c r="A46" s="46" t="s">
        <v>30</v>
      </c>
      <c r="B46" s="48">
        <f>B43*0.0188</f>
        <v>687.74160000000006</v>
      </c>
      <c r="C46" s="48">
        <f>C43*0.0188</f>
        <v>687.74160000000006</v>
      </c>
      <c r="D46" s="48">
        <f t="shared" si="0"/>
        <v>1375.4832000000001</v>
      </c>
      <c r="E46" s="7"/>
      <c r="G46" s="1"/>
      <c r="H46" s="29"/>
      <c r="I46" s="1"/>
      <c r="J46" s="1"/>
      <c r="K46" s="1"/>
      <c r="L46" s="1"/>
      <c r="M46" s="1"/>
      <c r="N46" s="1"/>
      <c r="O46" s="1"/>
    </row>
    <row r="47" spans="1:15" x14ac:dyDescent="0.25">
      <c r="A47" s="46" t="s">
        <v>31</v>
      </c>
      <c r="B47" s="48">
        <f>(B43-3500)*0.0495</f>
        <v>1637.559</v>
      </c>
      <c r="C47" s="48">
        <f>(C43-3500)*0.0495</f>
        <v>1637.559</v>
      </c>
      <c r="D47" s="48">
        <f t="shared" si="0"/>
        <v>3275.1179999999999</v>
      </c>
      <c r="E47" s="39"/>
      <c r="G47" s="1"/>
      <c r="H47" s="36"/>
      <c r="I47" s="1"/>
      <c r="J47" s="1"/>
      <c r="K47" s="1"/>
      <c r="L47" s="1"/>
      <c r="M47" s="1"/>
      <c r="N47" s="1"/>
      <c r="O47" s="1"/>
    </row>
    <row r="48" spans="1:15" x14ac:dyDescent="0.25">
      <c r="A48" s="46" t="s">
        <v>32</v>
      </c>
      <c r="B48" s="48">
        <f>MAX(0,((B45*0.15)-((11138+(C15-B45*0.03)+B46+B47+1127+2*500)*0.15)))</f>
        <v>1485.5937850000009</v>
      </c>
      <c r="C48" s="48">
        <f>MAX(0,(C45*0.15-(11138+C46+C47+1127+2255+2255+G27+J18)*0.15))</f>
        <v>2192.9549100000004</v>
      </c>
      <c r="D48" s="48">
        <f t="shared" si="0"/>
        <v>3678.5486950000013</v>
      </c>
      <c r="E48" s="39"/>
      <c r="G48" s="1"/>
      <c r="H48" s="29"/>
      <c r="I48" s="1"/>
      <c r="J48" s="1"/>
      <c r="K48" s="1"/>
      <c r="L48" s="1"/>
      <c r="M48" s="1"/>
      <c r="N48" s="1"/>
      <c r="O48" s="1"/>
    </row>
    <row r="49" spans="1:15" x14ac:dyDescent="0.25">
      <c r="A49" s="46" t="s">
        <v>33</v>
      </c>
      <c r="B49" s="48">
        <f>MAX(0,((B45*0.0879)-((8481+(C15-B45*0.03)+1200+B46+B47+500+500)*0.0879)))</f>
        <v>1097.6915580100006</v>
      </c>
      <c r="C49" s="48">
        <f>MAX(0,((((C45-29590)*0.1495)+2601)-((8481+C46+C47+J23)*0.01495)))</f>
        <v>3465.52410603</v>
      </c>
      <c r="D49" s="48">
        <f t="shared" si="0"/>
        <v>4563.2156640400008</v>
      </c>
      <c r="E49" s="7"/>
      <c r="G49" s="1"/>
      <c r="H49" s="29"/>
      <c r="I49" s="1"/>
      <c r="J49" s="1"/>
      <c r="K49" s="1"/>
      <c r="L49" s="1"/>
      <c r="M49" s="1"/>
      <c r="N49" s="1"/>
      <c r="O49" s="1"/>
    </row>
    <row r="50" spans="1:15" x14ac:dyDescent="0.25">
      <c r="A50" s="46" t="s">
        <v>52</v>
      </c>
      <c r="B50" s="48">
        <f>IF(D45-C27&lt;48546, IF((0.25*(C15-B45*0.03) - 0.05*(D45-C27-25506))&gt;0,-1*(0.25*(C15-B45*0.03) - 0.05*(D45-C27-25506)),0),0)</f>
        <v>0</v>
      </c>
      <c r="C50" s="48">
        <v>0</v>
      </c>
      <c r="D50" s="48">
        <f t="shared" si="0"/>
        <v>0</v>
      </c>
      <c r="E50" s="7"/>
      <c r="G50" s="1"/>
      <c r="H50" s="29"/>
      <c r="I50" s="1"/>
      <c r="J50" s="1"/>
      <c r="K50" s="1"/>
      <c r="L50" s="6"/>
      <c r="M50" s="1"/>
      <c r="N50" s="1"/>
      <c r="O50" s="1"/>
    </row>
    <row r="51" spans="1:15" x14ac:dyDescent="0.25">
      <c r="A51" s="13" t="s">
        <v>34</v>
      </c>
      <c r="B51" s="24">
        <f>B43-SUM(B46:B49)+B50</f>
        <v>31673.414056989997</v>
      </c>
      <c r="C51" s="24">
        <f>C43-SUM(C46:C49)+C50</f>
        <v>28598.220383970001</v>
      </c>
      <c r="D51" s="24">
        <f t="shared" si="0"/>
        <v>60271.634440959999</v>
      </c>
      <c r="E51" s="2"/>
      <c r="G51" s="6"/>
      <c r="H51" s="29"/>
      <c r="I51" s="1"/>
      <c r="J51" s="1"/>
      <c r="K51" s="1"/>
      <c r="L51" s="1"/>
      <c r="M51" s="6"/>
      <c r="N51" s="6"/>
      <c r="O51" s="1"/>
    </row>
    <row r="52" spans="1:15" x14ac:dyDescent="0.25">
      <c r="A52" s="13" t="s">
        <v>35</v>
      </c>
      <c r="B52" s="24">
        <f>B51/12</f>
        <v>2639.451171415833</v>
      </c>
      <c r="C52" s="24">
        <f>C51/12</f>
        <v>2383.1850319975001</v>
      </c>
      <c r="D52" s="24">
        <f t="shared" si="0"/>
        <v>5022.6362034133326</v>
      </c>
      <c r="E52" s="1"/>
      <c r="G52" s="1"/>
      <c r="H52" s="29"/>
      <c r="I52" s="1"/>
      <c r="J52" s="1"/>
      <c r="K52" s="1"/>
      <c r="L52" s="1"/>
      <c r="M52" s="1"/>
      <c r="N52" s="1"/>
      <c r="O52" s="1"/>
    </row>
    <row r="53" spans="1:15" x14ac:dyDescent="0.25">
      <c r="E53" s="1"/>
      <c r="G53" s="1"/>
      <c r="H53" s="7"/>
      <c r="I53" s="1"/>
      <c r="J53" s="1"/>
      <c r="K53" s="1"/>
      <c r="L53" s="1"/>
      <c r="M53" s="1"/>
      <c r="N53" s="1"/>
      <c r="O53" s="1"/>
    </row>
    <row r="54" spans="1:15" ht="17.25" x14ac:dyDescent="0.3">
      <c r="A54" s="73" t="s">
        <v>36</v>
      </c>
      <c r="B54" s="73"/>
      <c r="C54" s="73"/>
      <c r="D54" s="73"/>
      <c r="E54" s="1"/>
      <c r="F54" s="80"/>
      <c r="G54" s="1"/>
      <c r="H54" s="7"/>
      <c r="I54" s="6"/>
      <c r="J54" s="6"/>
      <c r="K54" s="1"/>
      <c r="L54" s="1"/>
      <c r="M54" s="1"/>
      <c r="N54" s="1"/>
      <c r="O54" s="1"/>
    </row>
    <row r="55" spans="1:15" x14ac:dyDescent="0.25">
      <c r="A55" s="109" t="s">
        <v>37</v>
      </c>
      <c r="B55" s="110"/>
      <c r="C55" s="111"/>
      <c r="D55" s="24">
        <f xml:space="preserve"> D43</f>
        <v>73164</v>
      </c>
      <c r="E55" s="1"/>
      <c r="F55" s="1"/>
      <c r="G55" s="1"/>
      <c r="H55" s="1"/>
      <c r="I55" s="1"/>
      <c r="J55" s="1"/>
      <c r="K55" s="1"/>
      <c r="L55" s="1"/>
      <c r="M55" s="1"/>
      <c r="N55" s="1"/>
      <c r="O55" s="1"/>
    </row>
    <row r="56" spans="1:15" x14ac:dyDescent="0.25">
      <c r="A56" s="109" t="s">
        <v>38</v>
      </c>
      <c r="B56" s="110"/>
      <c r="C56" s="111"/>
      <c r="D56" s="24">
        <f>SUM(B46:B49)+SUM(C46:C49)</f>
        <v>12892.365559040001</v>
      </c>
      <c r="E56" s="6"/>
      <c r="F56" s="80"/>
      <c r="G56" s="1"/>
      <c r="H56" s="1"/>
      <c r="I56" s="1"/>
      <c r="J56" s="1"/>
      <c r="K56" s="1"/>
      <c r="L56" s="1"/>
      <c r="M56" s="1"/>
      <c r="N56" s="1"/>
      <c r="O56" s="6"/>
    </row>
    <row r="57" spans="1:15" x14ac:dyDescent="0.25">
      <c r="A57" s="109" t="s">
        <v>39</v>
      </c>
      <c r="B57" s="110"/>
      <c r="C57" s="111"/>
      <c r="D57" s="24">
        <f>D55-D56</f>
        <v>60271.634440959999</v>
      </c>
      <c r="F57" s="1"/>
      <c r="G57" s="1"/>
      <c r="H57" s="1"/>
      <c r="I57" s="1"/>
      <c r="J57" s="1"/>
      <c r="K57" s="1"/>
      <c r="L57" s="1"/>
      <c r="M57" s="1"/>
      <c r="N57" s="1"/>
      <c r="O57" s="1"/>
    </row>
    <row r="58" spans="1:15" ht="17.25" x14ac:dyDescent="0.3">
      <c r="A58" s="109" t="s">
        <v>80</v>
      </c>
      <c r="B58" s="110"/>
      <c r="C58" s="111"/>
      <c r="D58" s="24">
        <f>C31</f>
        <v>3372.3833333333332</v>
      </c>
      <c r="E58" s="73"/>
      <c r="F58" s="6"/>
      <c r="G58" s="1"/>
      <c r="H58" s="1"/>
      <c r="I58" s="1"/>
      <c r="J58" s="1"/>
      <c r="K58" s="1"/>
      <c r="L58" s="1"/>
      <c r="M58" s="1"/>
      <c r="N58" s="1"/>
      <c r="O58" s="1"/>
    </row>
    <row r="59" spans="1:15" x14ac:dyDescent="0.25">
      <c r="A59" s="109" t="s">
        <v>40</v>
      </c>
      <c r="B59" s="110"/>
      <c r="C59" s="111"/>
      <c r="D59" s="24">
        <f>D57+D58</f>
        <v>63644.01777429333</v>
      </c>
      <c r="E59" s="1"/>
      <c r="F59" s="1"/>
      <c r="G59" s="1"/>
      <c r="H59" s="1"/>
      <c r="I59" s="1"/>
      <c r="J59" s="1"/>
      <c r="K59" s="1"/>
      <c r="L59" s="1"/>
      <c r="M59" s="1"/>
      <c r="N59" s="1"/>
      <c r="O59" s="1"/>
    </row>
    <row r="60" spans="1:15" x14ac:dyDescent="0.25">
      <c r="A60" s="109" t="s">
        <v>41</v>
      </c>
      <c r="B60" s="110"/>
      <c r="C60" s="111"/>
      <c r="D60" s="24">
        <f>C20</f>
        <v>63600.114290124337</v>
      </c>
      <c r="E60" s="1"/>
      <c r="G60" s="1"/>
      <c r="H60" s="6"/>
      <c r="I60" s="1"/>
      <c r="J60" s="1"/>
      <c r="K60" s="6"/>
      <c r="O60" s="1"/>
    </row>
    <row r="61" spans="1:15" x14ac:dyDescent="0.25">
      <c r="A61" s="109" t="s">
        <v>42</v>
      </c>
      <c r="B61" s="110"/>
      <c r="C61" s="111"/>
      <c r="D61" s="24">
        <f>D59-D60</f>
        <v>43.9034841689936</v>
      </c>
      <c r="E61" s="1"/>
      <c r="G61" s="6"/>
      <c r="H61" s="1"/>
      <c r="I61" s="1"/>
      <c r="J61" s="1"/>
      <c r="K61" s="1"/>
      <c r="O61" s="1"/>
    </row>
    <row r="62" spans="1:15" x14ac:dyDescent="0.25">
      <c r="E62" s="1"/>
      <c r="G62" s="1"/>
      <c r="H62" s="1"/>
      <c r="I62" s="1"/>
      <c r="J62" s="1"/>
      <c r="K62" s="1"/>
      <c r="O62" s="1"/>
    </row>
    <row r="63" spans="1:15" x14ac:dyDescent="0.25">
      <c r="E63" s="1"/>
      <c r="H63" s="1"/>
      <c r="I63" s="1"/>
      <c r="J63" s="1"/>
      <c r="K63" s="1"/>
      <c r="O63" s="1"/>
    </row>
    <row r="64" spans="1:15" x14ac:dyDescent="0.25">
      <c r="E64" s="1"/>
      <c r="H64" s="1"/>
      <c r="I64" s="1"/>
      <c r="J64" s="1"/>
      <c r="K64" s="1"/>
      <c r="O64" s="1"/>
    </row>
    <row r="65" spans="5:11" x14ac:dyDescent="0.25">
      <c r="E65" s="6"/>
      <c r="H65" s="1"/>
      <c r="K65" s="1"/>
    </row>
    <row r="66" spans="5:11" x14ac:dyDescent="0.25">
      <c r="E66" s="1"/>
      <c r="H66" s="1"/>
      <c r="K66" s="1"/>
    </row>
    <row r="67" spans="5:11" x14ac:dyDescent="0.25">
      <c r="H67" s="1"/>
      <c r="K67" s="1"/>
    </row>
    <row r="68" spans="5:11" x14ac:dyDescent="0.25">
      <c r="H68" s="1"/>
      <c r="K68" s="1"/>
    </row>
    <row r="69" spans="5:11" x14ac:dyDescent="0.25">
      <c r="H69" s="1"/>
      <c r="K69" s="1"/>
    </row>
  </sheetData>
  <mergeCells count="24">
    <mergeCell ref="F13:G13"/>
    <mergeCell ref="I14:J14"/>
    <mergeCell ref="I20:J20"/>
    <mergeCell ref="A1:G1"/>
    <mergeCell ref="A2:G2"/>
    <mergeCell ref="F8:G8"/>
    <mergeCell ref="I8:J8"/>
    <mergeCell ref="A5:B5"/>
    <mergeCell ref="F5:G5"/>
    <mergeCell ref="A3:I3"/>
    <mergeCell ref="L15:M15"/>
    <mergeCell ref="L8:N8"/>
    <mergeCell ref="L12:M12"/>
    <mergeCell ref="L9:M9"/>
    <mergeCell ref="L10:M10"/>
    <mergeCell ref="L11:M11"/>
    <mergeCell ref="A61:C61"/>
    <mergeCell ref="A55:C55"/>
    <mergeCell ref="A22:D22"/>
    <mergeCell ref="A56:C56"/>
    <mergeCell ref="A57:C57"/>
    <mergeCell ref="A58:C58"/>
    <mergeCell ref="A59:C59"/>
    <mergeCell ref="A60:C60"/>
  </mergeCells>
  <phoneticPr fontId="12" type="noConversion"/>
  <pageMargins left="0.7" right="0.7" top="0.75" bottom="0.75" header="0.3" footer="0.3"/>
  <pageSetup orientation="portrait"/>
  <ignoredErrors>
    <ignoredError sqref="C14 B15" formula="1"/>
  </ignoredErrors>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13" workbookViewId="0">
      <selection activeCell="C15" sqref="C15"/>
    </sheetView>
  </sheetViews>
  <sheetFormatPr defaultColWidth="8.85546875" defaultRowHeight="15" x14ac:dyDescent="0.25"/>
  <cols>
    <col min="1" max="1" width="36.140625" customWidth="1"/>
    <col min="2" max="2" width="21.28515625" customWidth="1"/>
  </cols>
  <sheetData>
    <row r="1" spans="1:3" x14ac:dyDescent="0.25">
      <c r="A1" t="s">
        <v>84</v>
      </c>
    </row>
    <row r="2" spans="1:3" x14ac:dyDescent="0.25">
      <c r="A2" t="s">
        <v>85</v>
      </c>
    </row>
    <row r="3" spans="1:3" x14ac:dyDescent="0.25">
      <c r="A3" t="s">
        <v>86</v>
      </c>
    </row>
    <row r="4" spans="1:3" x14ac:dyDescent="0.25">
      <c r="A4" t="s">
        <v>87</v>
      </c>
    </row>
    <row r="5" spans="1:3" x14ac:dyDescent="0.25">
      <c r="A5" t="s">
        <v>88</v>
      </c>
      <c r="B5" t="s">
        <v>89</v>
      </c>
      <c r="C5">
        <v>2011</v>
      </c>
    </row>
    <row r="6" spans="1:3" x14ac:dyDescent="0.25">
      <c r="A6" t="s">
        <v>90</v>
      </c>
      <c r="B6" t="s">
        <v>91</v>
      </c>
      <c r="C6">
        <v>37269</v>
      </c>
    </row>
    <row r="7" spans="1:3" x14ac:dyDescent="0.25">
      <c r="A7" t="s">
        <v>90</v>
      </c>
      <c r="B7" t="s">
        <v>75</v>
      </c>
      <c r="C7">
        <v>11634</v>
      </c>
    </row>
    <row r="8" spans="1:3" x14ac:dyDescent="0.25">
      <c r="A8" t="s">
        <v>90</v>
      </c>
      <c r="B8" t="s">
        <v>92</v>
      </c>
      <c r="C8">
        <v>2562</v>
      </c>
    </row>
    <row r="9" spans="1:3" x14ac:dyDescent="0.25">
      <c r="A9" t="s">
        <v>90</v>
      </c>
      <c r="B9" t="s">
        <v>79</v>
      </c>
      <c r="C9">
        <v>4633</v>
      </c>
    </row>
    <row r="10" spans="1:3" x14ac:dyDescent="0.25">
      <c r="A10" t="s">
        <v>90</v>
      </c>
      <c r="B10" t="s">
        <v>58</v>
      </c>
      <c r="C10">
        <v>7742</v>
      </c>
    </row>
    <row r="11" spans="1:3" x14ac:dyDescent="0.25">
      <c r="A11" t="s">
        <v>90</v>
      </c>
      <c r="B11" t="s">
        <v>93</v>
      </c>
      <c r="C11">
        <v>10699</v>
      </c>
    </row>
    <row r="12" spans="1:3" x14ac:dyDescent="0.25">
      <c r="A12" t="s">
        <v>94</v>
      </c>
      <c r="B12" t="s">
        <v>91</v>
      </c>
      <c r="C12">
        <v>37443</v>
      </c>
    </row>
    <row r="13" spans="1:3" x14ac:dyDescent="0.25">
      <c r="A13" t="s">
        <v>94</v>
      </c>
      <c r="B13" t="s">
        <v>75</v>
      </c>
      <c r="C13">
        <v>11634</v>
      </c>
    </row>
    <row r="14" spans="1:3" x14ac:dyDescent="0.25">
      <c r="A14" t="s">
        <v>94</v>
      </c>
      <c r="B14" t="s">
        <v>92</v>
      </c>
      <c r="C14">
        <v>2562</v>
      </c>
    </row>
    <row r="15" spans="1:3" x14ac:dyDescent="0.25">
      <c r="A15" t="s">
        <v>94</v>
      </c>
      <c r="B15" t="s">
        <v>79</v>
      </c>
      <c r="C15">
        <v>4633</v>
      </c>
    </row>
    <row r="16" spans="1:3" x14ac:dyDescent="0.25">
      <c r="A16" t="s">
        <v>94</v>
      </c>
      <c r="B16" t="s">
        <v>58</v>
      </c>
      <c r="C16">
        <v>7916</v>
      </c>
    </row>
    <row r="17" spans="1:4" x14ac:dyDescent="0.25">
      <c r="A17" t="s">
        <v>94</v>
      </c>
      <c r="B17" t="s">
        <v>93</v>
      </c>
      <c r="C17">
        <v>10699</v>
      </c>
    </row>
    <row r="18" spans="1:4" x14ac:dyDescent="0.25">
      <c r="A18" t="s">
        <v>95</v>
      </c>
      <c r="B18" t="s">
        <v>91</v>
      </c>
      <c r="C18">
        <v>35480</v>
      </c>
    </row>
    <row r="19" spans="1:4" x14ac:dyDescent="0.25">
      <c r="A19" t="s">
        <v>95</v>
      </c>
      <c r="B19" t="s">
        <v>75</v>
      </c>
      <c r="C19">
        <v>11634</v>
      </c>
    </row>
    <row r="20" spans="1:4" x14ac:dyDescent="0.25">
      <c r="A20" t="s">
        <v>95</v>
      </c>
      <c r="B20" t="s">
        <v>92</v>
      </c>
      <c r="C20">
        <v>2562</v>
      </c>
    </row>
    <row r="21" spans="1:4" x14ac:dyDescent="0.25">
      <c r="A21" t="s">
        <v>95</v>
      </c>
      <c r="B21" t="s">
        <v>79</v>
      </c>
      <c r="C21">
        <v>2436</v>
      </c>
    </row>
    <row r="22" spans="1:4" x14ac:dyDescent="0.25">
      <c r="A22" t="s">
        <v>95</v>
      </c>
      <c r="B22" t="s">
        <v>58</v>
      </c>
      <c r="C22">
        <v>8150</v>
      </c>
    </row>
    <row r="23" spans="1:4" x14ac:dyDescent="0.25">
      <c r="A23" t="s">
        <v>95</v>
      </c>
      <c r="B23" t="s">
        <v>93</v>
      </c>
      <c r="C23">
        <v>10699</v>
      </c>
    </row>
    <row r="24" spans="1:4" x14ac:dyDescent="0.25">
      <c r="A24" t="s">
        <v>96</v>
      </c>
      <c r="B24" t="s">
        <v>91</v>
      </c>
      <c r="C24">
        <v>36272</v>
      </c>
    </row>
    <row r="25" spans="1:4" x14ac:dyDescent="0.25">
      <c r="A25" t="s">
        <v>96</v>
      </c>
      <c r="B25" t="s">
        <v>75</v>
      </c>
      <c r="C25">
        <v>10882</v>
      </c>
    </row>
    <row r="26" spans="1:4" x14ac:dyDescent="0.25">
      <c r="A26" t="s">
        <v>96</v>
      </c>
      <c r="B26" t="s">
        <v>92</v>
      </c>
      <c r="C26">
        <v>2562</v>
      </c>
    </row>
    <row r="27" spans="1:4" x14ac:dyDescent="0.25">
      <c r="A27" t="s">
        <v>96</v>
      </c>
      <c r="B27" t="s">
        <v>79</v>
      </c>
      <c r="C27">
        <v>2560</v>
      </c>
    </row>
    <row r="28" spans="1:4" x14ac:dyDescent="0.25">
      <c r="A28" t="s">
        <v>96</v>
      </c>
      <c r="B28" t="s">
        <v>58</v>
      </c>
      <c r="C28">
        <v>10136</v>
      </c>
    </row>
    <row r="29" spans="1:4" x14ac:dyDescent="0.25">
      <c r="A29" t="s">
        <v>96</v>
      </c>
      <c r="B29" t="s">
        <v>93</v>
      </c>
      <c r="C29">
        <v>10132</v>
      </c>
      <c r="D29" s="103">
        <f>C29/C24</f>
        <v>0.27933392148213498</v>
      </c>
    </row>
    <row r="30" spans="1:4" x14ac:dyDescent="0.25">
      <c r="A30" t="s">
        <v>97</v>
      </c>
      <c r="B30" t="s">
        <v>91</v>
      </c>
      <c r="C30">
        <v>33856</v>
      </c>
    </row>
    <row r="31" spans="1:4" x14ac:dyDescent="0.25">
      <c r="A31" t="s">
        <v>97</v>
      </c>
      <c r="B31" t="s">
        <v>75</v>
      </c>
      <c r="C31">
        <v>11132</v>
      </c>
    </row>
    <row r="32" spans="1:4" x14ac:dyDescent="0.25">
      <c r="A32" t="s">
        <v>97</v>
      </c>
      <c r="B32" t="s">
        <v>92</v>
      </c>
      <c r="C32">
        <v>2562</v>
      </c>
    </row>
    <row r="33" spans="1:3" x14ac:dyDescent="0.25">
      <c r="A33" t="s">
        <v>97</v>
      </c>
      <c r="B33" t="s">
        <v>79</v>
      </c>
      <c r="C33">
        <v>1996</v>
      </c>
    </row>
    <row r="34" spans="1:3" x14ac:dyDescent="0.25">
      <c r="A34" t="s">
        <v>97</v>
      </c>
      <c r="B34" t="s">
        <v>58</v>
      </c>
      <c r="C34">
        <v>7845</v>
      </c>
    </row>
    <row r="35" spans="1:3" x14ac:dyDescent="0.25">
      <c r="A35" t="s">
        <v>97</v>
      </c>
      <c r="B35" t="s">
        <v>93</v>
      </c>
      <c r="C35">
        <v>10321</v>
      </c>
    </row>
    <row r="36" spans="1:3" x14ac:dyDescent="0.25">
      <c r="A36" t="s">
        <v>98</v>
      </c>
    </row>
    <row r="37" spans="1:3" x14ac:dyDescent="0.25">
      <c r="A37">
        <v>1</v>
      </c>
      <c r="B37" t="s">
        <v>99</v>
      </c>
    </row>
    <row r="38" spans="1:3" x14ac:dyDescent="0.25">
      <c r="A38">
        <v>2</v>
      </c>
      <c r="B38" t="s">
        <v>100</v>
      </c>
    </row>
    <row r="39" spans="1:3" x14ac:dyDescent="0.25">
      <c r="A39">
        <v>4</v>
      </c>
      <c r="B39" t="s">
        <v>101</v>
      </c>
    </row>
    <row r="40" spans="1:3" x14ac:dyDescent="0.25">
      <c r="A40" t="s">
        <v>102</v>
      </c>
    </row>
    <row r="41" spans="1:3" x14ac:dyDescent="0.25">
      <c r="A41" t="s">
        <v>103</v>
      </c>
    </row>
    <row r="42" spans="1:3" x14ac:dyDescent="0.25">
      <c r="A42" t="s">
        <v>104</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workbookViewId="0">
      <selection activeCell="L10" sqref="L10"/>
    </sheetView>
  </sheetViews>
  <sheetFormatPr defaultColWidth="8.85546875" defaultRowHeight="15" x14ac:dyDescent="0.25"/>
  <cols>
    <col min="1" max="1" width="26.85546875" customWidth="1"/>
    <col min="2" max="2" width="27.42578125" customWidth="1"/>
    <col min="9" max="9" width="19.28515625" customWidth="1"/>
    <col min="10" max="10" width="12.7109375" customWidth="1"/>
    <col min="12" max="12" width="12.140625" customWidth="1"/>
  </cols>
  <sheetData>
    <row r="1" spans="1:12" x14ac:dyDescent="0.25">
      <c r="A1" t="s">
        <v>106</v>
      </c>
    </row>
    <row r="2" spans="1:12" x14ac:dyDescent="0.25">
      <c r="A2" t="s">
        <v>85</v>
      </c>
    </row>
    <row r="3" spans="1:12" x14ac:dyDescent="0.25">
      <c r="A3" t="s">
        <v>107</v>
      </c>
    </row>
    <row r="4" spans="1:12" x14ac:dyDescent="0.25">
      <c r="A4" t="s">
        <v>108</v>
      </c>
      <c r="B4" t="s">
        <v>109</v>
      </c>
      <c r="C4">
        <v>2011</v>
      </c>
      <c r="D4">
        <v>2012</v>
      </c>
      <c r="E4">
        <v>2013</v>
      </c>
      <c r="F4">
        <v>2014</v>
      </c>
      <c r="I4" t="s">
        <v>155</v>
      </c>
    </row>
    <row r="5" spans="1:12" x14ac:dyDescent="0.25">
      <c r="A5" t="s">
        <v>110</v>
      </c>
      <c r="B5" t="s">
        <v>111</v>
      </c>
      <c r="C5">
        <v>122.7</v>
      </c>
      <c r="D5">
        <v>125.1</v>
      </c>
      <c r="E5">
        <v>126.6</v>
      </c>
      <c r="F5">
        <v>128.80000000000001</v>
      </c>
      <c r="I5" t="s">
        <v>88</v>
      </c>
      <c r="J5" t="s">
        <v>89</v>
      </c>
      <c r="K5">
        <v>2011</v>
      </c>
      <c r="L5">
        <v>2014</v>
      </c>
    </row>
    <row r="6" spans="1:12" x14ac:dyDescent="0.25">
      <c r="A6" t="s">
        <v>110</v>
      </c>
      <c r="B6" t="s">
        <v>112</v>
      </c>
      <c r="C6">
        <v>134.1</v>
      </c>
      <c r="D6">
        <v>137.80000000000001</v>
      </c>
      <c r="E6">
        <v>139.6</v>
      </c>
      <c r="F6">
        <v>141.5</v>
      </c>
      <c r="I6" t="s">
        <v>96</v>
      </c>
      <c r="J6" t="s">
        <v>91</v>
      </c>
      <c r="K6">
        <v>36272</v>
      </c>
    </row>
    <row r="7" spans="1:12" x14ac:dyDescent="0.25">
      <c r="A7" t="s">
        <v>110</v>
      </c>
      <c r="B7" t="s">
        <v>113</v>
      </c>
      <c r="C7">
        <v>131.19999999999999</v>
      </c>
      <c r="D7">
        <v>135.19999999999999</v>
      </c>
      <c r="E7">
        <v>138.1</v>
      </c>
      <c r="F7">
        <v>141.1</v>
      </c>
      <c r="I7" t="s">
        <v>96</v>
      </c>
      <c r="J7" t="s">
        <v>75</v>
      </c>
      <c r="K7">
        <v>10882</v>
      </c>
    </row>
    <row r="8" spans="1:12" x14ac:dyDescent="0.25">
      <c r="A8" t="s">
        <v>110</v>
      </c>
      <c r="B8" t="s">
        <v>114</v>
      </c>
      <c r="C8">
        <v>111.9</v>
      </c>
      <c r="D8">
        <v>113.1</v>
      </c>
      <c r="E8">
        <v>115</v>
      </c>
      <c r="F8">
        <v>117.2</v>
      </c>
      <c r="I8" t="s">
        <v>96</v>
      </c>
      <c r="J8" t="s">
        <v>92</v>
      </c>
      <c r="K8">
        <v>2562</v>
      </c>
      <c r="L8" s="102">
        <f>K8*(F9/C9)</f>
        <v>2708.1636167922493</v>
      </c>
    </row>
    <row r="9" spans="1:12" x14ac:dyDescent="0.25">
      <c r="A9" t="s">
        <v>110</v>
      </c>
      <c r="B9" t="s">
        <v>115</v>
      </c>
      <c r="C9">
        <v>92.9</v>
      </c>
      <c r="D9">
        <v>93.7</v>
      </c>
      <c r="E9">
        <v>95.9</v>
      </c>
      <c r="F9">
        <v>98.2</v>
      </c>
      <c r="I9" t="s">
        <v>156</v>
      </c>
      <c r="J9" t="s">
        <v>79</v>
      </c>
      <c r="K9">
        <v>4633</v>
      </c>
      <c r="L9">
        <f>K9*(F53/C53)</f>
        <v>4777.9782312925163</v>
      </c>
    </row>
    <row r="10" spans="1:12" x14ac:dyDescent="0.25">
      <c r="A10" t="s">
        <v>110</v>
      </c>
      <c r="B10" t="s">
        <v>79</v>
      </c>
      <c r="C10">
        <v>121.7</v>
      </c>
      <c r="D10">
        <v>123.9</v>
      </c>
      <c r="E10">
        <v>124.5</v>
      </c>
      <c r="F10">
        <v>125.9</v>
      </c>
      <c r="I10" t="s">
        <v>96</v>
      </c>
      <c r="J10" t="s">
        <v>58</v>
      </c>
      <c r="K10">
        <v>10136</v>
      </c>
    </row>
    <row r="11" spans="1:12" x14ac:dyDescent="0.25">
      <c r="A11" t="s">
        <v>110</v>
      </c>
      <c r="B11" t="s">
        <v>116</v>
      </c>
      <c r="C11">
        <v>169.4</v>
      </c>
      <c r="D11">
        <v>176.8</v>
      </c>
      <c r="E11">
        <v>176.6</v>
      </c>
      <c r="F11">
        <v>176.9</v>
      </c>
      <c r="I11" t="s">
        <v>96</v>
      </c>
      <c r="J11" t="s">
        <v>93</v>
      </c>
      <c r="K11">
        <v>10132</v>
      </c>
      <c r="L11" s="103"/>
    </row>
    <row r="12" spans="1:12" x14ac:dyDescent="0.25">
      <c r="A12" t="s">
        <v>110</v>
      </c>
      <c r="B12" t="s">
        <v>117</v>
      </c>
      <c r="C12">
        <v>115.3</v>
      </c>
      <c r="D12">
        <v>116.7</v>
      </c>
      <c r="E12">
        <v>115.5</v>
      </c>
      <c r="F12">
        <v>116.4</v>
      </c>
    </row>
    <row r="13" spans="1:12" x14ac:dyDescent="0.25">
      <c r="A13" t="s">
        <v>110</v>
      </c>
      <c r="B13" t="s">
        <v>118</v>
      </c>
      <c r="C13">
        <v>108.1</v>
      </c>
      <c r="D13">
        <v>108.3</v>
      </c>
      <c r="E13">
        <v>107.7</v>
      </c>
      <c r="F13">
        <v>109.6</v>
      </c>
    </row>
    <row r="14" spans="1:12" x14ac:dyDescent="0.25">
      <c r="A14" t="s">
        <v>110</v>
      </c>
      <c r="B14" t="s">
        <v>119</v>
      </c>
      <c r="C14">
        <v>160.4</v>
      </c>
      <c r="D14">
        <v>163.1</v>
      </c>
      <c r="E14">
        <v>167.9</v>
      </c>
      <c r="F14">
        <v>176.2</v>
      </c>
    </row>
    <row r="15" spans="1:12" x14ac:dyDescent="0.25">
      <c r="A15" t="s">
        <v>110</v>
      </c>
      <c r="B15" t="s">
        <v>120</v>
      </c>
      <c r="C15">
        <v>114.1</v>
      </c>
      <c r="D15">
        <v>115.3</v>
      </c>
      <c r="E15">
        <v>116.7</v>
      </c>
      <c r="F15">
        <v>118.6</v>
      </c>
    </row>
    <row r="16" spans="1:12" x14ac:dyDescent="0.25">
      <c r="A16" t="s">
        <v>110</v>
      </c>
      <c r="B16" t="s">
        <v>121</v>
      </c>
      <c r="C16">
        <v>118</v>
      </c>
      <c r="D16">
        <v>119.5</v>
      </c>
      <c r="E16">
        <v>121</v>
      </c>
      <c r="F16">
        <v>122.9</v>
      </c>
    </row>
    <row r="17" spans="1:6" x14ac:dyDescent="0.25">
      <c r="A17" t="s">
        <v>110</v>
      </c>
      <c r="B17" t="s">
        <v>122</v>
      </c>
      <c r="C17">
        <v>164.9</v>
      </c>
      <c r="D17">
        <v>174.7</v>
      </c>
      <c r="E17">
        <v>176.5</v>
      </c>
      <c r="F17">
        <v>182</v>
      </c>
    </row>
    <row r="18" spans="1:6" x14ac:dyDescent="0.25">
      <c r="A18" t="s">
        <v>110</v>
      </c>
      <c r="B18" t="s">
        <v>123</v>
      </c>
      <c r="C18">
        <v>122.2</v>
      </c>
      <c r="D18">
        <v>124.7</v>
      </c>
      <c r="E18">
        <v>125.4</v>
      </c>
      <c r="F18">
        <v>127.3</v>
      </c>
    </row>
    <row r="19" spans="1:6" x14ac:dyDescent="0.25">
      <c r="A19" t="s">
        <v>110</v>
      </c>
      <c r="B19" t="s">
        <v>124</v>
      </c>
      <c r="C19">
        <v>123.5</v>
      </c>
      <c r="D19">
        <v>125.7</v>
      </c>
      <c r="E19">
        <v>128</v>
      </c>
      <c r="F19">
        <v>130.6</v>
      </c>
    </row>
    <row r="20" spans="1:6" x14ac:dyDescent="0.25">
      <c r="A20" t="s">
        <v>125</v>
      </c>
      <c r="B20" t="s">
        <v>111</v>
      </c>
      <c r="C20">
        <v>121.7</v>
      </c>
      <c r="D20">
        <v>123.8</v>
      </c>
      <c r="E20">
        <v>125.2</v>
      </c>
      <c r="F20">
        <v>127.5</v>
      </c>
    </row>
    <row r="21" spans="1:6" x14ac:dyDescent="0.25">
      <c r="A21" t="s">
        <v>125</v>
      </c>
      <c r="B21" t="s">
        <v>113</v>
      </c>
      <c r="C21">
        <v>127</v>
      </c>
      <c r="D21">
        <v>130</v>
      </c>
      <c r="E21">
        <v>132.6</v>
      </c>
      <c r="F21">
        <v>135.30000000000001</v>
      </c>
    </row>
    <row r="22" spans="1:6" x14ac:dyDescent="0.25">
      <c r="A22" t="s">
        <v>98</v>
      </c>
    </row>
    <row r="23" spans="1:6" x14ac:dyDescent="0.25">
      <c r="A23">
        <v>1</v>
      </c>
      <c r="B23" t="s">
        <v>126</v>
      </c>
    </row>
    <row r="24" spans="1:6" x14ac:dyDescent="0.25">
      <c r="A24">
        <v>2</v>
      </c>
      <c r="B24" t="s">
        <v>127</v>
      </c>
    </row>
    <row r="25" spans="1:6" x14ac:dyDescent="0.25">
      <c r="A25">
        <v>3</v>
      </c>
      <c r="B25" t="s">
        <v>128</v>
      </c>
    </row>
    <row r="26" spans="1:6" x14ac:dyDescent="0.25">
      <c r="A26">
        <v>4</v>
      </c>
      <c r="B26" t="s">
        <v>129</v>
      </c>
    </row>
    <row r="27" spans="1:6" x14ac:dyDescent="0.25">
      <c r="A27">
        <v>5</v>
      </c>
      <c r="B27" t="s">
        <v>130</v>
      </c>
    </row>
    <row r="28" spans="1:6" x14ac:dyDescent="0.25">
      <c r="A28">
        <v>6</v>
      </c>
      <c r="B28" t="s">
        <v>131</v>
      </c>
    </row>
    <row r="29" spans="1:6" x14ac:dyDescent="0.25">
      <c r="A29">
        <v>7</v>
      </c>
      <c r="B29" t="s">
        <v>132</v>
      </c>
    </row>
    <row r="30" spans="1:6" x14ac:dyDescent="0.25">
      <c r="A30">
        <v>9</v>
      </c>
      <c r="B30" t="s">
        <v>133</v>
      </c>
    </row>
    <row r="31" spans="1:6" x14ac:dyDescent="0.25">
      <c r="A31">
        <v>10</v>
      </c>
      <c r="B31" t="s">
        <v>134</v>
      </c>
    </row>
    <row r="32" spans="1:6" x14ac:dyDescent="0.25">
      <c r="A32">
        <v>11</v>
      </c>
      <c r="B32" t="s">
        <v>135</v>
      </c>
    </row>
    <row r="33" spans="1:6" x14ac:dyDescent="0.25">
      <c r="A33">
        <v>15</v>
      </c>
      <c r="B33" t="s">
        <v>136</v>
      </c>
    </row>
    <row r="34" spans="1:6" x14ac:dyDescent="0.25">
      <c r="A34">
        <v>16</v>
      </c>
      <c r="B34" t="s">
        <v>137</v>
      </c>
    </row>
    <row r="35" spans="1:6" x14ac:dyDescent="0.25">
      <c r="A35">
        <v>17</v>
      </c>
      <c r="B35" t="s">
        <v>138</v>
      </c>
    </row>
    <row r="36" spans="1:6" x14ac:dyDescent="0.25">
      <c r="A36">
        <v>18</v>
      </c>
      <c r="B36" t="s">
        <v>139</v>
      </c>
    </row>
    <row r="37" spans="1:6" x14ac:dyDescent="0.25">
      <c r="A37">
        <v>25</v>
      </c>
      <c r="B37" t="s">
        <v>140</v>
      </c>
    </row>
    <row r="38" spans="1:6" x14ac:dyDescent="0.25">
      <c r="A38">
        <v>27</v>
      </c>
      <c r="B38" t="s">
        <v>141</v>
      </c>
    </row>
    <row r="39" spans="1:6" x14ac:dyDescent="0.25">
      <c r="A39">
        <v>28</v>
      </c>
      <c r="B39" t="s">
        <v>142</v>
      </c>
    </row>
    <row r="40" spans="1:6" x14ac:dyDescent="0.25">
      <c r="A40" t="s">
        <v>102</v>
      </c>
    </row>
    <row r="41" spans="1:6" x14ac:dyDescent="0.25">
      <c r="A41" t="s">
        <v>143</v>
      </c>
    </row>
    <row r="42" spans="1:6" x14ac:dyDescent="0.25">
      <c r="A42" t="s">
        <v>104</v>
      </c>
    </row>
    <row r="44" spans="1:6" x14ac:dyDescent="0.25">
      <c r="A44" s="133" t="s">
        <v>144</v>
      </c>
      <c r="B44" s="134"/>
      <c r="C44" s="134"/>
      <c r="D44" s="134"/>
      <c r="E44" s="134"/>
      <c r="F44" s="134"/>
    </row>
    <row r="45" spans="1:6" x14ac:dyDescent="0.25">
      <c r="A45" s="133" t="s">
        <v>145</v>
      </c>
      <c r="B45" s="134"/>
      <c r="C45" s="134"/>
      <c r="D45" s="134"/>
      <c r="E45" s="134"/>
      <c r="F45" s="134"/>
    </row>
    <row r="46" spans="1:6" x14ac:dyDescent="0.25">
      <c r="A46" s="99"/>
      <c r="B46" s="99">
        <v>2010</v>
      </c>
      <c r="C46" s="99">
        <v>2011</v>
      </c>
      <c r="D46" s="99">
        <v>2012</v>
      </c>
      <c r="E46" s="99">
        <v>2013</v>
      </c>
      <c r="F46" s="99">
        <v>2014</v>
      </c>
    </row>
    <row r="47" spans="1:6" x14ac:dyDescent="0.25">
      <c r="A47" s="99"/>
      <c r="B47" s="135" t="s">
        <v>146</v>
      </c>
      <c r="C47" s="135"/>
      <c r="D47" s="135"/>
      <c r="E47" s="135"/>
      <c r="F47" s="135"/>
    </row>
    <row r="48" spans="1:6" x14ac:dyDescent="0.25">
      <c r="A48" s="100" t="s">
        <v>147</v>
      </c>
      <c r="B48" s="136"/>
      <c r="C48" s="136"/>
      <c r="D48" s="136"/>
      <c r="E48" s="136"/>
      <c r="F48" s="136"/>
    </row>
    <row r="49" spans="1:6" x14ac:dyDescent="0.25">
      <c r="A49" s="99" t="s">
        <v>148</v>
      </c>
      <c r="B49" s="100">
        <v>118.2</v>
      </c>
      <c r="C49" s="100">
        <v>122.7</v>
      </c>
      <c r="D49" s="100">
        <v>125.1</v>
      </c>
      <c r="E49" s="100">
        <v>126.6</v>
      </c>
      <c r="F49" s="100">
        <v>128.80000000000001</v>
      </c>
    </row>
    <row r="50" spans="1:6" x14ac:dyDescent="0.25">
      <c r="A50" s="99" t="s">
        <v>79</v>
      </c>
      <c r="B50" s="101">
        <v>114.1</v>
      </c>
      <c r="C50" s="101">
        <v>121.7</v>
      </c>
      <c r="D50" s="101">
        <v>123.9</v>
      </c>
      <c r="E50" s="101">
        <v>124.5</v>
      </c>
      <c r="F50" s="101">
        <v>125.9</v>
      </c>
    </row>
    <row r="51" spans="1:6" x14ac:dyDescent="0.25">
      <c r="A51" s="99" t="s">
        <v>149</v>
      </c>
      <c r="B51" s="101">
        <v>113.9</v>
      </c>
      <c r="C51" s="101">
        <v>121.6</v>
      </c>
      <c r="D51" s="101">
        <v>123.8</v>
      </c>
      <c r="E51" s="101">
        <v>124.2</v>
      </c>
      <c r="F51" s="101">
        <v>125.4</v>
      </c>
    </row>
    <row r="52" spans="1:6" ht="30" x14ac:dyDescent="0.25">
      <c r="A52" s="99" t="s">
        <v>150</v>
      </c>
      <c r="B52" s="101">
        <v>91.3</v>
      </c>
      <c r="C52" s="101">
        <v>92.6</v>
      </c>
      <c r="D52" s="101">
        <v>93.2</v>
      </c>
      <c r="E52" s="101">
        <v>93.8</v>
      </c>
      <c r="F52" s="101">
        <v>95.3</v>
      </c>
    </row>
    <row r="53" spans="1:6" ht="30" x14ac:dyDescent="0.25">
      <c r="A53" s="99" t="s">
        <v>151</v>
      </c>
      <c r="B53" s="101">
        <v>133.69999999999999</v>
      </c>
      <c r="C53" s="101">
        <v>147</v>
      </c>
      <c r="D53" s="101">
        <v>150.80000000000001</v>
      </c>
      <c r="E53" s="101">
        <v>150.69999999999999</v>
      </c>
      <c r="F53" s="101">
        <v>151.6</v>
      </c>
    </row>
    <row r="54" spans="1:6" x14ac:dyDescent="0.25">
      <c r="A54" s="99" t="s">
        <v>152</v>
      </c>
      <c r="B54" s="101">
        <v>116.6</v>
      </c>
      <c r="C54" s="101">
        <v>122.7</v>
      </c>
      <c r="D54" s="101">
        <v>125.4</v>
      </c>
      <c r="E54" s="101">
        <v>128.4</v>
      </c>
      <c r="F54" s="101">
        <v>131.5</v>
      </c>
    </row>
    <row r="55" spans="1:6" ht="30" x14ac:dyDescent="0.25">
      <c r="A55" s="99" t="s">
        <v>153</v>
      </c>
      <c r="B55" s="101">
        <v>126.1</v>
      </c>
      <c r="C55" s="101">
        <v>126.6</v>
      </c>
      <c r="D55" s="101">
        <v>127.6</v>
      </c>
      <c r="E55" s="101">
        <v>131.5</v>
      </c>
      <c r="F55" s="101">
        <v>140.69999999999999</v>
      </c>
    </row>
    <row r="56" spans="1:6" x14ac:dyDescent="0.25">
      <c r="A56" s="99" t="s">
        <v>154</v>
      </c>
      <c r="B56" s="101">
        <v>111.8</v>
      </c>
      <c r="C56" s="101">
        <v>120.3</v>
      </c>
      <c r="D56" s="101">
        <v>123.6</v>
      </c>
      <c r="E56" s="101">
        <v>126.4</v>
      </c>
      <c r="F56" s="101">
        <v>127.4</v>
      </c>
    </row>
  </sheetData>
  <mergeCells count="4">
    <mergeCell ref="A44:F44"/>
    <mergeCell ref="A45:F45"/>
    <mergeCell ref="B47:F47"/>
    <mergeCell ref="B48:F48"/>
  </mergeCell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LW Halifax</vt:lpstr>
      <vt:lpstr>MBM</vt:lpstr>
      <vt:lpstr>CPI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Partridge</dc:creator>
  <cp:lastModifiedBy>saulnier</cp:lastModifiedBy>
  <cp:lastPrinted>2015-01-19T00:31:12Z</cp:lastPrinted>
  <dcterms:created xsi:type="dcterms:W3CDTF">2014-07-08T21:01:56Z</dcterms:created>
  <dcterms:modified xsi:type="dcterms:W3CDTF">2015-05-22T16:37:29Z</dcterms:modified>
</cp:coreProperties>
</file>