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06"/>
  <workbookPr autoCompressPictures="0"/>
  <mc:AlternateContent xmlns:mc="http://schemas.openxmlformats.org/markup-compatibility/2006">
    <mc:Choice Requires="x15">
      <x15ac:absPath xmlns:x15ac="http://schemas.microsoft.com/office/spreadsheetml/2010/11/ac" url="/Users/christinesaulnier/Dropbox/CCPA 2007/Research/Living Wage/PEI/"/>
    </mc:Choice>
  </mc:AlternateContent>
  <xr:revisionPtr revIDLastSave="0" documentId="8_{0281B9C7-F57A-4CFA-8101-71D7C9C47CFE}" xr6:coauthVersionLast="47" xr6:coauthVersionMax="47" xr10:uidLastSave="{00000000-0000-0000-0000-000000000000}"/>
  <bookViews>
    <workbookView xWindow="0" yWindow="460" windowWidth="25600" windowHeight="15540" firstSheet="3" activeTab="3" xr2:uid="{00000000-000D-0000-FFFF-FFFF00000000}"/>
  </bookViews>
  <sheets>
    <sheet name="LW 2020 Income" sheetId="1" r:id="rId1"/>
    <sheet name="Gov Transfers " sheetId="15" r:id="rId2"/>
    <sheet name="Taxes &amp; Credits" sheetId="16" r:id="rId3"/>
    <sheet name="CPI" sheetId="9" r:id="rId4"/>
    <sheet name="MBM" sheetId="10" r:id="rId5"/>
    <sheet name="Family Expenses" sheetId="14"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4" l="1"/>
  <c r="B40" i="14" l="1"/>
  <c r="B49" i="14" l="1"/>
  <c r="B50" i="14" s="1"/>
  <c r="B42" i="14"/>
  <c r="B41" i="14"/>
  <c r="B43" i="14"/>
  <c r="B33" i="14"/>
  <c r="B36" i="14" s="1"/>
  <c r="B27" i="14" l="1"/>
  <c r="B26" i="14"/>
  <c r="B22" i="14"/>
  <c r="B19" i="14"/>
  <c r="B16" i="14"/>
  <c r="B11" i="14"/>
  <c r="B8" i="14"/>
  <c r="K11" i="10"/>
  <c r="K10" i="10"/>
  <c r="I11" i="10"/>
  <c r="I10" i="10"/>
  <c r="L34" i="16" l="1"/>
  <c r="I23" i="16"/>
  <c r="I29" i="16"/>
  <c r="H29" i="16"/>
  <c r="B38" i="1" l="1"/>
  <c r="B23" i="14"/>
  <c r="B20" i="14"/>
  <c r="B14" i="1" s="1"/>
  <c r="C14" i="1" l="1"/>
  <c r="C15" i="1"/>
  <c r="B6" i="1"/>
  <c r="C6" i="1" l="1"/>
  <c r="B53" i="10" l="1"/>
  <c r="C53" i="10" s="1"/>
  <c r="B52" i="10"/>
  <c r="C52" i="10" s="1"/>
  <c r="D24" i="1" l="1"/>
  <c r="H62" i="16"/>
  <c r="B54" i="14" l="1"/>
  <c r="B11" i="1"/>
  <c r="C3" i="16" l="1"/>
  <c r="J7" i="15"/>
  <c r="J8" i="15" s="1"/>
  <c r="B45" i="14" l="1"/>
  <c r="B46" i="14" s="1"/>
  <c r="H34" i="16" l="1"/>
  <c r="C8" i="16" l="1"/>
  <c r="I40" i="16"/>
  <c r="I43" i="16"/>
  <c r="L48" i="16"/>
  <c r="L49" i="16" s="1"/>
  <c r="I44" i="16" s="1"/>
  <c r="C37" i="1"/>
  <c r="B17" i="14"/>
  <c r="B7" i="1" s="1"/>
  <c r="C10" i="1"/>
  <c r="I7" i="15" s="1"/>
  <c r="K7" i="15" s="1"/>
  <c r="B9" i="14"/>
  <c r="B10" i="14" s="1"/>
  <c r="B12" i="14" s="1"/>
  <c r="B29" i="14"/>
  <c r="C11" i="1"/>
  <c r="B39" i="1"/>
  <c r="I8" i="15" s="1"/>
  <c r="K8" i="15" s="1"/>
  <c r="L33" i="16"/>
  <c r="C16" i="15"/>
  <c r="H40" i="16"/>
  <c r="H43" i="16"/>
  <c r="H50" i="16"/>
  <c r="B45" i="1"/>
  <c r="I40" i="15"/>
  <c r="I41" i="15"/>
  <c r="D22" i="1" s="1"/>
  <c r="C21" i="15"/>
  <c r="C22" i="15" s="1"/>
  <c r="D36" i="1"/>
  <c r="C13" i="1" l="1"/>
  <c r="B13" i="1" s="1"/>
  <c r="B37" i="14"/>
  <c r="C9" i="1"/>
  <c r="B9" i="1" s="1"/>
  <c r="B30" i="14"/>
  <c r="C7" i="1"/>
  <c r="C12" i="1"/>
  <c r="B12" i="1" s="1"/>
  <c r="L35" i="16"/>
  <c r="I32" i="16" s="1"/>
  <c r="C38" i="1"/>
  <c r="I6" i="15"/>
  <c r="I14" i="15"/>
  <c r="D21" i="1"/>
  <c r="B40" i="1"/>
  <c r="C13" i="16"/>
  <c r="H31" i="16" s="1"/>
  <c r="B10" i="1"/>
  <c r="H35" i="16" l="1"/>
  <c r="B13" i="14"/>
  <c r="B8" i="1" s="1"/>
  <c r="D38" i="1"/>
  <c r="C40" i="1"/>
  <c r="I35" i="16" s="1"/>
  <c r="H45" i="16"/>
  <c r="H48" i="16"/>
  <c r="H42" i="16"/>
  <c r="J6" i="15"/>
  <c r="K6" i="15" s="1"/>
  <c r="D8" i="16"/>
  <c r="I41" i="16" s="1"/>
  <c r="H33" i="16"/>
  <c r="I9" i="15"/>
  <c r="D13" i="16"/>
  <c r="B42" i="1"/>
  <c r="H15" i="16" l="1"/>
  <c r="L15" i="16" s="1"/>
  <c r="L17" i="16" s="1"/>
  <c r="L19" i="16" s="1"/>
  <c r="L21" i="16" s="1"/>
  <c r="L22" i="16" s="1"/>
  <c r="D50" i="1"/>
  <c r="C55" i="16"/>
  <c r="C8" i="1"/>
  <c r="D40" i="1"/>
  <c r="I48" i="16"/>
  <c r="J9" i="15"/>
  <c r="K9" i="15" s="1"/>
  <c r="I11" i="15"/>
  <c r="C41" i="1"/>
  <c r="I30" i="16"/>
  <c r="I42" i="16"/>
  <c r="I49" i="16" s="1"/>
  <c r="C42" i="1"/>
  <c r="I31" i="16"/>
  <c r="H5" i="16" l="1"/>
  <c r="L7" i="16" s="1"/>
  <c r="I36" i="16"/>
  <c r="I38" i="16" s="1"/>
  <c r="C44" i="1" s="1"/>
  <c r="I50" i="16"/>
  <c r="I51" i="16" s="1"/>
  <c r="C43" i="1" s="1"/>
  <c r="C45" i="1"/>
  <c r="J49" i="15"/>
  <c r="C24" i="1" s="1"/>
  <c r="I38" i="15"/>
  <c r="D6" i="15" s="1"/>
  <c r="C6" i="15" s="1"/>
  <c r="B21" i="1" s="1"/>
  <c r="I39" i="15"/>
  <c r="D7" i="15" s="1"/>
  <c r="C7" i="15" s="1"/>
  <c r="B22" i="1" s="1"/>
  <c r="I49" i="15"/>
  <c r="D8" i="15" s="1"/>
  <c r="C23" i="1" s="1"/>
  <c r="J10" i="15"/>
  <c r="J11" i="15"/>
  <c r="K11" i="15" s="1"/>
  <c r="D42" i="1"/>
  <c r="B15" i="1"/>
  <c r="H10" i="16" l="1"/>
  <c r="H11" i="16" s="1"/>
  <c r="L9" i="16" s="1"/>
  <c r="D9" i="15" s="1"/>
  <c r="C25" i="1" s="1"/>
  <c r="B25" i="1" s="1"/>
  <c r="J14" i="15"/>
  <c r="K14" i="15" s="1"/>
  <c r="D45" i="1"/>
  <c r="J12" i="15"/>
  <c r="C22" i="1"/>
  <c r="B23" i="1"/>
  <c r="C21" i="1"/>
  <c r="C8" i="15"/>
  <c r="J13" i="15"/>
  <c r="B24" i="1"/>
  <c r="C46" i="1"/>
  <c r="J15" i="15" l="1"/>
  <c r="B26" i="1"/>
  <c r="C26" i="1"/>
  <c r="C47" i="1"/>
  <c r="H30" i="16"/>
  <c r="H36" i="16" s="1"/>
  <c r="H38" i="16" s="1"/>
  <c r="H41" i="16"/>
  <c r="H49" i="16" s="1"/>
  <c r="H51" i="16" s="1"/>
  <c r="B43" i="1" s="1"/>
  <c r="B41" i="1"/>
  <c r="B44" i="1" l="1"/>
  <c r="D53" i="1"/>
  <c r="I10" i="15"/>
  <c r="K10" i="15" s="1"/>
  <c r="D41" i="1"/>
  <c r="I12" i="15"/>
  <c r="K12" i="15" s="1"/>
  <c r="D43" i="1"/>
  <c r="D51" i="1" l="1"/>
  <c r="D52" i="1" s="1"/>
  <c r="B46" i="1"/>
  <c r="I15" i="15" s="1"/>
  <c r="K15" i="15" s="1"/>
  <c r="I13" i="15"/>
  <c r="K13" i="15" s="1"/>
  <c r="D44" i="1"/>
  <c r="C16" i="1"/>
  <c r="C31" i="1" s="1"/>
  <c r="B16" i="1"/>
  <c r="B47" i="1" l="1"/>
  <c r="D47" i="1" s="1"/>
  <c r="D46" i="1"/>
  <c r="C30" i="1" s="1"/>
  <c r="D54" i="1"/>
  <c r="D6" i="1"/>
  <c r="D10" i="1"/>
  <c r="D7" i="1"/>
  <c r="D11" i="1"/>
  <c r="D9" i="1"/>
  <c r="D15" i="1"/>
  <c r="D8" i="1"/>
  <c r="D13" i="1"/>
  <c r="D55" i="1"/>
  <c r="D16" i="1"/>
  <c r="D12" i="1"/>
  <c r="D14" i="1"/>
  <c r="C32" i="1" l="1"/>
  <c r="D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Bourgeois</author>
  </authors>
  <commentList>
    <comment ref="H64" authorId="0" shapeId="0" xr:uid="{00000000-0006-0000-0100-000003000000}">
      <text>
        <r>
          <rPr>
            <b/>
            <sz val="9"/>
            <color indexed="81"/>
            <rFont val="Tahoma"/>
            <family val="2"/>
          </rPr>
          <t>Bourgeois:</t>
        </r>
        <r>
          <rPr>
            <sz val="9"/>
            <color indexed="81"/>
            <rFont val="Tahoma"/>
            <family val="2"/>
          </rPr>
          <t xml:space="preserve">
source https://www.canada.ca/en/revenue-agency/services/child-family-benefits/provincial-territorial-programs/information-new-brunswick-harmonized-sales-tax-credit.html#Q5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Bourgeois</author>
  </authors>
  <commentList>
    <comment ref="I35" authorId="0" shapeId="0" xr:uid="{00000000-0006-0000-0200-000002000000}">
      <text>
        <r>
          <rPr>
            <b/>
            <sz val="9"/>
            <color rgb="FF000000"/>
            <rFont val="Tahoma"/>
            <family val="2"/>
          </rPr>
          <t>Bourgeois:</t>
        </r>
        <r>
          <rPr>
            <sz val="9"/>
            <color rgb="FF000000"/>
            <rFont val="Tahoma"/>
            <family val="2"/>
          </rPr>
          <t xml:space="preserve">
</t>
        </r>
        <r>
          <rPr>
            <sz val="9"/>
            <color rgb="FF000000"/>
            <rFont val="Tahoma"/>
            <family val="2"/>
          </rPr>
          <t>watch out - the rate in NS is super low - and mostlikely requires 2 income brackets</t>
        </r>
      </text>
    </comment>
  </commentList>
</comments>
</file>

<file path=xl/sharedStrings.xml><?xml version="1.0" encoding="utf-8"?>
<sst xmlns="http://schemas.openxmlformats.org/spreadsheetml/2006/main" count="400" uniqueCount="295">
  <si>
    <t>Living Wage Calculation: PEI 2020 (based on 2019 data)</t>
  </si>
  <si>
    <t>2 adults each work 35 hours/week, 2 children (aged 2 &amp; 7)</t>
  </si>
  <si>
    <t>Table I: Family Expenses--Two Adults and Two Children (age 2 and 7)</t>
  </si>
  <si>
    <t>Item</t>
  </si>
  <si>
    <t>Monthly</t>
  </si>
  <si>
    <t>Annually</t>
  </si>
  <si>
    <t>% of Total</t>
  </si>
  <si>
    <t>Food</t>
  </si>
  <si>
    <t>Clothing and Footwear</t>
  </si>
  <si>
    <t>Shelter</t>
  </si>
  <si>
    <t>Transportation</t>
  </si>
  <si>
    <t>Child Care</t>
  </si>
  <si>
    <t>Private Health Insurance</t>
  </si>
  <si>
    <t>Contingency/Emergency</t>
  </si>
  <si>
    <t>Parent Education</t>
  </si>
  <si>
    <t>Household Expenses</t>
  </si>
  <si>
    <t>Social Inclusion</t>
  </si>
  <si>
    <t>Total</t>
  </si>
  <si>
    <t>Table II:  Non-Wage Income (Government Transfers)</t>
  </si>
  <si>
    <t>Income</t>
  </si>
  <si>
    <t>No CBB at FNI</t>
  </si>
  <si>
    <t>CCB (jan- jun)</t>
  </si>
  <si>
    <t>CCB (july - dec)</t>
  </si>
  <si>
    <t>GST Credit (Jan-June)</t>
  </si>
  <si>
    <t>GST credit (July-Dec)</t>
  </si>
  <si>
    <t>PEISTC</t>
  </si>
  <si>
    <t>Table III:  Family Income Less Family Expenses</t>
  </si>
  <si>
    <t>Available Annual Income</t>
  </si>
  <si>
    <t>Annual Family Expenses</t>
  </si>
  <si>
    <t>Gap</t>
  </si>
  <si>
    <t xml:space="preserve"> </t>
  </si>
  <si>
    <t>Table IV:  The Living Wage and Government Deductions and Taxes</t>
  </si>
  <si>
    <t>Column1</t>
  </si>
  <si>
    <t>Parent 1</t>
  </si>
  <si>
    <t>Parent 2</t>
  </si>
  <si>
    <t>Hours / Week</t>
  </si>
  <si>
    <t>Wage</t>
  </si>
  <si>
    <t>Employment Income (gross)</t>
  </si>
  <si>
    <t xml:space="preserve">Adjustments </t>
  </si>
  <si>
    <t>Adjusted Income</t>
  </si>
  <si>
    <t>EI Premiums</t>
  </si>
  <si>
    <t>CPP Premiums</t>
  </si>
  <si>
    <t>Fed. Income Tax</t>
  </si>
  <si>
    <t>Prov. Income Tax</t>
  </si>
  <si>
    <t>Fed. Refundable Credits</t>
  </si>
  <si>
    <t>After Tax Income</t>
  </si>
  <si>
    <t>Monthly After Tax Inc.</t>
  </si>
  <si>
    <t>Table V:  Family Income less Gov't Deductions and Taxes plus Gov't Transfers</t>
  </si>
  <si>
    <t>Total Annual Income from Employment</t>
  </si>
  <si>
    <t xml:space="preserve">  - EI, CPP, Fed. and Prov. Taxes</t>
  </si>
  <si>
    <t>Equals Family Take Home Pay</t>
  </si>
  <si>
    <t xml:space="preserve">  + CCB, GST, PEISTC</t>
  </si>
  <si>
    <t>Equals Total Disposable Family Income</t>
  </si>
  <si>
    <t xml:space="preserve">  - Family Expenses</t>
  </si>
  <si>
    <t>Equals Income less expenses</t>
  </si>
  <si>
    <t>GOVERNMENT TRANSFERS 2019</t>
  </si>
  <si>
    <t>Table IIa:  Calculations for Government Tax and Transfers</t>
  </si>
  <si>
    <t>Month</t>
  </si>
  <si>
    <t>Annual</t>
  </si>
  <si>
    <t>Notes</t>
  </si>
  <si>
    <t>this years income</t>
  </si>
  <si>
    <t>CCB (jan-Jun)</t>
  </si>
  <si>
    <t>Employment Income</t>
  </si>
  <si>
    <t>CCB (jul -dec)</t>
  </si>
  <si>
    <t>Child Care Expenses</t>
  </si>
  <si>
    <t>GST credit</t>
  </si>
  <si>
    <t>Net Income</t>
  </si>
  <si>
    <t>General Information</t>
  </si>
  <si>
    <t>number of kids under 18</t>
  </si>
  <si>
    <t>age of kid 1</t>
  </si>
  <si>
    <t>Canada Child benefit Calculation (CCB)</t>
  </si>
  <si>
    <t>age of kid 2</t>
  </si>
  <si>
    <t>January-June 2019</t>
  </si>
  <si>
    <t>https://www.canada.ca/en/revenue-agency/services/child-family-benefits/canada-child-benefit-overview/canada-child-benefit-ccb-calculation-sheet-july-2019-june-2020-payments-2018-tax-year.html</t>
  </si>
  <si>
    <t>1st treshold</t>
  </si>
  <si>
    <t xml:space="preserve">cells in </t>
  </si>
  <si>
    <t>2nd treshold</t>
  </si>
  <si>
    <t>don’t touch, unless the formula has changed</t>
  </si>
  <si>
    <t>max child under 6</t>
  </si>
  <si>
    <t>don't touch, they are simply linked</t>
  </si>
  <si>
    <t>max child 6 to 17</t>
  </si>
  <si>
    <t xml:space="preserve">July-December 2019 </t>
  </si>
  <si>
    <r>
      <t xml:space="preserve">reduction rates </t>
    </r>
    <r>
      <rPr>
        <b/>
        <u/>
        <sz val="12"/>
        <color theme="1"/>
        <rFont val="Calibri"/>
        <family val="2"/>
        <scheme val="minor"/>
      </rPr>
      <t>between</t>
    </r>
    <r>
      <rPr>
        <u/>
        <sz val="11"/>
        <color theme="1"/>
        <rFont val="Calibri"/>
        <family val="2"/>
        <scheme val="minor"/>
      </rPr>
      <t xml:space="preserve"> AFNI</t>
    </r>
  </si>
  <si>
    <t>1 child family</t>
  </si>
  <si>
    <t>2 chidren family</t>
  </si>
  <si>
    <t>3 children family</t>
  </si>
  <si>
    <t>4+ children family</t>
  </si>
  <si>
    <r>
      <t xml:space="preserve">plus rates  AFNI </t>
    </r>
    <r>
      <rPr>
        <b/>
        <u/>
        <sz val="12"/>
        <color theme="1"/>
        <rFont val="Calibri"/>
        <family val="2"/>
        <scheme val="minor"/>
      </rPr>
      <t>over</t>
    </r>
  </si>
  <si>
    <r>
      <t xml:space="preserve">CCB </t>
    </r>
    <r>
      <rPr>
        <b/>
        <sz val="12"/>
        <color theme="1"/>
        <rFont val="Calibri"/>
        <family val="2"/>
        <scheme val="minor"/>
      </rPr>
      <t>6 months</t>
    </r>
    <r>
      <rPr>
        <sz val="11"/>
        <color theme="1"/>
        <rFont val="Calibri"/>
        <family val="2"/>
        <scheme val="minor"/>
      </rPr>
      <t xml:space="preserve"> (Jan-June)</t>
    </r>
  </si>
  <si>
    <r>
      <t xml:space="preserve">CCB </t>
    </r>
    <r>
      <rPr>
        <b/>
        <sz val="12"/>
        <color theme="1"/>
        <rFont val="Calibri"/>
        <family val="2"/>
        <scheme val="minor"/>
      </rPr>
      <t>6 months</t>
    </r>
    <r>
      <rPr>
        <sz val="11"/>
        <color theme="1"/>
        <rFont val="Calibri"/>
        <family val="2"/>
        <scheme val="minor"/>
      </rPr>
      <t xml:space="preserve"> (July-Dec)</t>
    </r>
  </si>
  <si>
    <t>no CCB at FNI (Jan-June)</t>
  </si>
  <si>
    <t>no CCB at FNI (July-Dec)</t>
  </si>
  <si>
    <t>https://www.canada.ca/en/revenue-agency/services/child-family-benefits/canada-child-benefit-overview/canada-child-benefit-calculation-sheets.html</t>
  </si>
  <si>
    <t>GST Credit Jan-June 2019</t>
  </si>
  <si>
    <t>GST July-Dec 2019</t>
  </si>
  <si>
    <t>basic credit</t>
  </si>
  <si>
    <t>https://www.canada.ca/en/revenue-agency/services/child-family-benefits/goods-services-tax-harmonized-sales-tax-gst-hst-credit/goods-services-tax-harmonized-sales-tax-gst-hst-credit-payment-amounts-tax-years-2013-2015.html</t>
  </si>
  <si>
    <t>credit for spouse</t>
  </si>
  <si>
    <t>credit for children</t>
  </si>
  <si>
    <t>family net income treshold</t>
  </si>
  <si>
    <t>rate of net income difference</t>
  </si>
  <si>
    <t>https://www.canada.ca/en/revenue-agency/services/child-family-benefits/goods-services-tax-harmonized-sales-tax-gst-hst-credit/goods-services-tax-harmonized-sales-tax-credit-calculation-sheet-july-2018-june-2019-payments-2017-tax-year.html</t>
  </si>
  <si>
    <t>annual credit</t>
  </si>
  <si>
    <t>NB</t>
  </si>
  <si>
    <t>in this sheet, you can find all the programs values, treshold and rates used in the calculation of the programs.</t>
  </si>
  <si>
    <t>for some program, a division was made explicitely to differenciated between the calculation of the first 6 months and the last 6 months.</t>
  </si>
  <si>
    <t>the formula used to make the calculations are fixed, in the sense that if the calculation process changes, the formula will need to be changed. If the values change (example to adjust for inflation, then simply update the values in the table)</t>
  </si>
  <si>
    <t>If you received an error, you did something wrong. Either entered a bad rate, or the error will specify to what the problem is.</t>
  </si>
  <si>
    <t>FEDERAL AND PROVINCIAL TAXES AND CREDITS 2019</t>
  </si>
  <si>
    <t>income adjt family</t>
  </si>
  <si>
    <t>clawback rate</t>
  </si>
  <si>
    <t xml:space="preserve">Employment Insurance </t>
  </si>
  <si>
    <t xml:space="preserve">base amount </t>
  </si>
  <si>
    <t>clawback treshhold</t>
  </si>
  <si>
    <t xml:space="preserve">Employment Insurance rate </t>
  </si>
  <si>
    <t>spouce amount</t>
  </si>
  <si>
    <t xml:space="preserve">clawback </t>
  </si>
  <si>
    <t>EI premiums</t>
  </si>
  <si>
    <t>supplement rate</t>
  </si>
  <si>
    <t>treshhold for supplement</t>
  </si>
  <si>
    <t>amount payable</t>
  </si>
  <si>
    <t>Canadian Pension Plan</t>
  </si>
  <si>
    <t>supplement amount</t>
  </si>
  <si>
    <t>CPP rate</t>
  </si>
  <si>
    <t>total allowed</t>
  </si>
  <si>
    <t>basic exemption</t>
  </si>
  <si>
    <t>CCP premiums</t>
  </si>
  <si>
    <t>low income tax reduction PEI</t>
  </si>
  <si>
    <t>Income tax credits</t>
  </si>
  <si>
    <t>Provincial</t>
  </si>
  <si>
    <t>Federal</t>
  </si>
  <si>
    <t>income (adjusted family)</t>
  </si>
  <si>
    <t>family income</t>
  </si>
  <si>
    <t>basic personal amount</t>
  </si>
  <si>
    <t>base amount</t>
  </si>
  <si>
    <t>spouse equivalence amount</t>
  </si>
  <si>
    <t>basic reduction</t>
  </si>
  <si>
    <t>total</t>
  </si>
  <si>
    <t>age amount</t>
  </si>
  <si>
    <t>age reduction</t>
  </si>
  <si>
    <t>tax rate</t>
  </si>
  <si>
    <t>disability amount</t>
  </si>
  <si>
    <t>reduct for spouce</t>
  </si>
  <si>
    <t>amount</t>
  </si>
  <si>
    <t>medical expense rate</t>
  </si>
  <si>
    <t>age for spouce</t>
  </si>
  <si>
    <t>non-refundable tax credit rate</t>
  </si>
  <si>
    <t>reduct for eligieable dependant</t>
  </si>
  <si>
    <t>diff</t>
  </si>
  <si>
    <t>canada employment amount</t>
  </si>
  <si>
    <t>kids</t>
  </si>
  <si>
    <t>total reduction</t>
  </si>
  <si>
    <t>*</t>
  </si>
  <si>
    <t xml:space="preserve">Amount for young child (PEI) </t>
  </si>
  <si>
    <t>amount reduction</t>
  </si>
  <si>
    <t>*not actualy included in the prov income tax calculation as its INCREADIBLY unlikely to take place - if the number is posiotive add it!</t>
  </si>
  <si>
    <t>provincial income tax calculation</t>
  </si>
  <si>
    <t>parent 1</t>
  </si>
  <si>
    <t>parent 2</t>
  </si>
  <si>
    <t>*don’t touch, just to show the calculation</t>
  </si>
  <si>
    <t>EI premium</t>
  </si>
  <si>
    <t>Provincial income tax rates*</t>
  </si>
  <si>
    <t>CPP premiums</t>
  </si>
  <si>
    <t>min range</t>
  </si>
  <si>
    <t>max range</t>
  </si>
  <si>
    <t>rate</t>
  </si>
  <si>
    <t>add</t>
  </si>
  <si>
    <t>tuition</t>
  </si>
  <si>
    <t>Provincial Tuition Credits</t>
  </si>
  <si>
    <t>medical expenses</t>
  </si>
  <si>
    <t>Tuition</t>
  </si>
  <si>
    <t>PEI young amount</t>
  </si>
  <si>
    <t>$120/month</t>
  </si>
  <si>
    <t>base tax payable</t>
  </si>
  <si>
    <t>**</t>
  </si>
  <si>
    <t>non-refundable tax credits</t>
  </si>
  <si>
    <t>refundable tax credits</t>
  </si>
  <si>
    <t>*income specific, if the income goes above this, it will be wrong</t>
  </si>
  <si>
    <t>net provincial tax</t>
  </si>
  <si>
    <t>Federal income tax rates*</t>
  </si>
  <si>
    <t>federal income tax calculation</t>
  </si>
  <si>
    <t>Canada employment</t>
  </si>
  <si>
    <t>tuition amounts</t>
  </si>
  <si>
    <t>medical expenses tax credit</t>
  </si>
  <si>
    <t xml:space="preserve">Federal Tuition Credits </t>
  </si>
  <si>
    <t>Canada Workers Benefit</t>
  </si>
  <si>
    <t>CWB rate</t>
  </si>
  <si>
    <t>Maximum Benefit Amount</t>
  </si>
  <si>
    <t>net federal tax</t>
  </si>
  <si>
    <t>Family Net Income to zero</t>
  </si>
  <si>
    <t>Base Threshold</t>
  </si>
  <si>
    <t>Rate for CWB reduction</t>
  </si>
  <si>
    <t>CWB amount</t>
  </si>
  <si>
    <t>income too high</t>
  </si>
  <si>
    <t>https://www.canada.ca/en/revenue-agency/services/child-family-benefits/canada-workers-benefit/calculation-families-canada.html</t>
  </si>
  <si>
    <t>refundable medical expense supplement</t>
  </si>
  <si>
    <t>family net income threshodl  ($27,639)</t>
  </si>
  <si>
    <t>Childcare Tax Credit</t>
  </si>
  <si>
    <t>One child under 6</t>
  </si>
  <si>
    <t>https://www.canada.ca/en/revenue-agency/services/tax/individuals/frequently-asked-questions-individuals/adjustment-personal-income-tax-benefit-amounts.html#nrtc-metc</t>
  </si>
  <si>
    <t>One child over 6</t>
  </si>
  <si>
    <t>NB: values in bold are used</t>
  </si>
  <si>
    <t>Tax information for PEI:</t>
  </si>
  <si>
    <t>non refundable tax credit</t>
  </si>
  <si>
    <t>https://www.canada.ca/content/dam/cra-arc/formspubs/pbg/5002-c/5002-c-19e.pdf</t>
  </si>
  <si>
    <t>worksheet PE 428</t>
  </si>
  <si>
    <t>https://www.canada.ca/content/dam/cra-arc/formspubs/pbg/5002-d/5002-d-19e.pdf</t>
  </si>
  <si>
    <t>(to calculate amounts)</t>
  </si>
  <si>
    <t>PE(S11)</t>
  </si>
  <si>
    <t>https://www.canada.ca/content/dam/cra-arc/formspubs/pbg/5002-s11/5002-s11-19e.pdf</t>
  </si>
  <si>
    <t>tuition credits</t>
  </si>
  <si>
    <t>https://www.canada.ca/en/revenue-agency/services/child-family-benefits/provincial-territorial-programs/province-prince-edward-island.html</t>
  </si>
  <si>
    <t>https://www.canada.ca/content/dam/cra-arc/formspubs/pub/rc4210/rc4210-20e.pdf</t>
  </si>
  <si>
    <t>Consumer Price Index, annual average, not seasonally adjusted 1 2</t>
  </si>
  <si>
    <t>Table: 18-10-0005-01 (formerly CANSIM 326-0021)</t>
  </si>
  <si>
    <t>Geography: Canada, Province or territory, Census subdivision, Census metropolitan area, Census metropolitan area part</t>
  </si>
  <si>
    <t>Prince Edward Island</t>
  </si>
  <si>
    <t>Charlottetown and Summerside, Prince Edward Island 4</t>
  </si>
  <si>
    <t>Products and product groups3</t>
  </si>
  <si>
    <t>2002=100</t>
  </si>
  <si>
    <t>All-items</t>
  </si>
  <si>
    <t>Food 5</t>
  </si>
  <si>
    <t>..</t>
  </si>
  <si>
    <t>Shelter 6</t>
  </si>
  <si>
    <t>Rent 7</t>
  </si>
  <si>
    <t>Household operations, furnishings and equipment</t>
  </si>
  <si>
    <t>Clothing and footwear</t>
  </si>
  <si>
    <t>Operation of passenger vehicles</t>
  </si>
  <si>
    <t>Symbol legend:</t>
  </si>
  <si>
    <t>not available for a specific reference period</t>
  </si>
  <si>
    <t>Footnotes:</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</si>
  <si>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</si>
  <si>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This table replaces table 18-10-0009-01 which was archived with the release of April 2007 data.</t>
  </si>
  <si>
    <t>The goods and services that make up the Consumer Price Index (CPI) are organized according to a hierarchical structure with the "all-items CPI" as the top level. Eight major components of goods and services make up the "all-items CPI". They are: "food", "shelter", "household operations, furnishings and equipment", "clothing and footwear", "transportation", "health and personal care", "recreation, education and reading", and "alcoholic beverages, tobacco products and recreational cannabis". These eight components are broken down into a varying number of sub-groups which are in turn broken down into other sub-groups. Indents are used to identify the components that make up each level of aggregation. For example, the eight major components appear with one indent relative to the "all-items CPI" to show that they are combined to obtain the "all-items CPI". NOTE: Some items are recombined outside the main structure of the CPI to obtain special aggregates such as "all-items excluding food and energy", "energy", "goods", "services", or "fresh fruit and vegetables". They are listed after the components of the main structure of the CPI following the last major component entitled "alcoholic beverages, tobacco products and recreational cannabis".</t>
  </si>
  <si>
    <t>With the introduction of the 1992 basket in January 1995, emphasis was shifted from city data to provincial data. City all-items series were continued since many users had come to rely on this service, but the method of calculation was changed. Shelter indexes are calculated for each city. This recognizes the importance of shelter in the basket, the significant and persistent differences in price movements between cities, and the availability of local data. For the other seven major components, the movement of the provincial counterpart is used except in the cases of Montréal, Toronto, and Vancouver, where a sub-provincial counterpart is used. The major components are aggregated using the city's expenditure pattern to arrive at each city's all-items index.</t>
  </si>
  <si>
    <t>Food includes non-alcoholic beverages.</t>
  </si>
  <si>
    <t>Part of the increase first recorded in the shelter index for Yellowknife for December 2004 inadvertently reflected rent increases that actually occurred earlier. As a result, the change in the shelter index was overstated in December 2004, and was understated in the previous two years. The shelter index series for Yellowknife has been corrected from December 2002. In addition, the Yellowknife All-items consumer price index (CPI) and some Yellowknife special aggregate index series have also changed. Data for Canada and all other provinces and territories were not affected.</t>
  </si>
  <si>
    <t>Revision of the methodology of the rent component (http://www23.statcan.gc.ca/imdb-bmdi/document/2301_D41_T9_V1-eng.pdf) of the Consumer Price Index (CPI), beginning with the July 2009 CPI.  New approach for estimating the rent component (https://www150.statcan.gc.ca/n1/pub/62f0014m/62f0014m2019002-eng.htm) of the Consumer Price Index, beginning with the January 2019 CPI.</t>
  </si>
  <si>
    <t>How to cite: Statistics Canada. Table 18-10-0005-01 Consumer Price Index, annual average, not seasonally adjusted</t>
  </si>
  <si>
    <t>https://www150.statcan.gc.ca/t1/tbl1/en/tv.action?pid=1810000501</t>
  </si>
  <si>
    <t>DOI: https://doi.org/10.25318/1810000501-eng</t>
  </si>
  <si>
    <t>Market Basket Measure (MBM) thresholds for the reference family by Market Basket Measure region, component and base year 1 2 3</t>
  </si>
  <si>
    <t>Table: 11-10-0066-01</t>
  </si>
  <si>
    <t>Geography: Census metropolitan area, Census agglomeration, Census metropolitan area part</t>
  </si>
  <si>
    <t>2018 constant dollars</t>
  </si>
  <si>
    <t>2018 base</t>
  </si>
  <si>
    <t>Total threshold</t>
  </si>
  <si>
    <t>Clothing</t>
  </si>
  <si>
    <t>Other expenses</t>
  </si>
  <si>
    <t>Geography4</t>
  </si>
  <si>
    <t>Diff</t>
  </si>
  <si>
    <t>Prince Edward Island, rural</t>
  </si>
  <si>
    <t>Prince Edward Island, population under 30,000</t>
  </si>
  <si>
    <t>Charlottetown, Prince Edward Island</t>
  </si>
  <si>
    <t>Source: Income Statistics Division, Statistics Canada</t>
  </si>
  <si>
    <t>The Market Basket Measure (MBM) is based on the cost of a specific basket of goods and services representing a modest, basic standard of living. It includes the costs of food, clothing, shelter, transportation and other items for a reference family. These costs are compared to the disposable income of families to determine whether or not they fall below the poverty line.</t>
  </si>
  <si>
    <t>This table has replaced archived table 11-10-0230-01.</t>
  </si>
  <si>
    <t>Rural areas: includes communities with a population of less than 1,000 or with a population density less than 400 persons per square kilometer that are located outside Census metropolitan areas (CMAs) or Census agglomerations (CAs). Population under 30,000 : CAs below 30,000 and population centres below 10,000 persons. Population 30,000 to 99,999 : CAs between 30,000 and 99,999 persons. Population 100,000 to 499,999: CMAs between 100,000 and 499,999. Population 500,000 and over: CMAs with 500,000 or more persons. Specific city name refers to the population within the CMA or CA.</t>
  </si>
  <si>
    <t>How to cite: Statistics Canada. Table 11-10-0066-01 Market Basket Measure (MBM) thresholds for the reference family by Market Basket Measure region, component and base year</t>
  </si>
  <si>
    <t>https://www150.statcan.gc.ca/t1/tbl1/en/tv.action?pid=1110006601</t>
  </si>
  <si>
    <t>DOI:  https://doi.org/10.25318/1110006601-eng</t>
  </si>
  <si>
    <t>family of one</t>
  </si>
  <si>
    <t>family of two</t>
  </si>
  <si>
    <t>Charlottetown Family Expenses 2019</t>
  </si>
  <si>
    <t>Shelter Costs</t>
  </si>
  <si>
    <t>Rent (CMHC, Median for 3 brm+, Oct 2019)</t>
  </si>
  <si>
    <t>Content Insurance</t>
  </si>
  <si>
    <t>Maritime Electric</t>
  </si>
  <si>
    <t>Base Customer Charge</t>
  </si>
  <si>
    <t>Rate/KWh (1100)</t>
  </si>
  <si>
    <t>HST</t>
  </si>
  <si>
    <t>Basic Internet monthly</t>
  </si>
  <si>
    <t>Total Monthly for all Utilities</t>
  </si>
  <si>
    <t>Total Monthly for Shelter Costs</t>
  </si>
  <si>
    <t>Clothing MBM 2018 CPI adjusted annual</t>
  </si>
  <si>
    <t>Total Monthly</t>
  </si>
  <si>
    <r>
      <rPr>
        <b/>
        <sz val="11"/>
        <rFont val="Calibri"/>
        <family val="2"/>
        <scheme val="minor"/>
      </rPr>
      <t>Household Essentials</t>
    </r>
    <r>
      <rPr>
        <sz val="11"/>
        <rFont val="Calibri"/>
        <family val="2"/>
        <scheme val="minor"/>
      </rPr>
      <t xml:space="preserve"> (MBM, other, 2018 adj)</t>
    </r>
  </si>
  <si>
    <r>
      <rPr>
        <b/>
        <sz val="10"/>
        <rFont val="Arial"/>
        <family val="2"/>
      </rPr>
      <t>Social Inclusion</t>
    </r>
    <r>
      <rPr>
        <sz val="10"/>
        <rFont val="Arial"/>
        <family val="2"/>
      </rPr>
      <t xml:space="preserve"> (MBM, other, 2018, adj)</t>
    </r>
  </si>
  <si>
    <t xml:space="preserve">12 monthly bus passes for 1 adult </t>
  </si>
  <si>
    <t>Private Vehicle (MBM 2018, adjusted)</t>
  </si>
  <si>
    <t>Taxi (4* 5km trips over 12 months)</t>
  </si>
  <si>
    <t>Total Annual</t>
  </si>
  <si>
    <t>Cost per unit</t>
  </si>
  <si>
    <t>Student Fees</t>
  </si>
  <si>
    <t xml:space="preserve">Textbooks </t>
  </si>
  <si>
    <t>Total Annual (2 courses Holland College)</t>
  </si>
  <si>
    <t>Toddler Full Time (2y/o)</t>
  </si>
  <si>
    <t>Before/After School (7y/o)</t>
  </si>
  <si>
    <t>Summer &amp; March Break (7y/o)</t>
  </si>
  <si>
    <t>PD (11), Dec Break (8), Nonstat Holidays (2)</t>
  </si>
  <si>
    <t>Child Care Subsidy (not included)</t>
  </si>
  <si>
    <t xml:space="preserve">Food Costs </t>
  </si>
  <si>
    <t>MBM Food costs (2018) adj CPI annual</t>
  </si>
  <si>
    <t xml:space="preserve">Private Health Insurance </t>
  </si>
  <si>
    <t>Basic health insurance per month quoted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</si>
</sst>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164" formatCode="&quot;$&quot;#,##0;[Red]\-&quot;$&quot;#,##0"/>
    <numFmt numFmtId="165" formatCode="_-&quot;$&quot;* #,##0.00_-;\-&quot;$&quot;* #,##0.00_-;_-&quot;$&quot;* &quot;-&quot;??_-;_-@_-"/>
    <numFmt numFmtId="166" formatCode="&quot;$&quot;#,##0.00"/>
    <numFmt numFmtId="167" formatCode="0.0%"/>
    <numFmt numFmtId="168" formatCode="0.000"/>
    <numFmt numFmtId="169" formatCode="0.0"/>
  </numFmts>
  <fonts count="46">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10"/>
      <name val="Verdana"/>
      <family val="2"/>
    </font>
    <font>
      <b/>
      <sz val="11"/>
      <color indexed="8"/>
      <name val="Calibri"/>
      <family val="2"/>
    </font>
    <font>
      <sz val="8"/>
      <name val="Calibri"/>
      <family val="2"/>
    </font>
    <font>
      <sz val="11"/>
      <name val="Calibri"/>
      <family val="2"/>
    </font>
    <font>
      <sz val="11"/>
      <color rgb="FF006100"/>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b/>
      <sz val="16"/>
      <color indexed="54"/>
      <name val="Calibri"/>
      <family val="2"/>
    </font>
    <font>
      <b/>
      <sz val="11"/>
      <name val="Arial"/>
      <family val="2"/>
    </font>
    <font>
      <sz val="11"/>
      <color theme="1"/>
      <name val="Calibri"/>
      <family val="2"/>
      <scheme val="minor"/>
    </font>
    <font>
      <sz val="11"/>
      <name val="Calibri"/>
      <family val="2"/>
      <scheme val="minor"/>
    </font>
    <font>
      <b/>
      <sz val="14"/>
      <color theme="1"/>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b/>
      <sz val="13"/>
      <color theme="1"/>
      <name val="Calibri"/>
      <family val="2"/>
      <scheme val="minor"/>
    </font>
    <font>
      <b/>
      <sz val="10"/>
      <name val="Verdana"/>
      <family val="2"/>
    </font>
    <font>
      <b/>
      <sz val="11"/>
      <color rgb="FF3F3F76"/>
      <name val="Calibri"/>
      <family val="2"/>
      <scheme val="minor"/>
    </font>
    <font>
      <u/>
      <sz val="10"/>
      <name val="Verdana"/>
      <family val="2"/>
    </font>
    <font>
      <u/>
      <sz val="11"/>
      <color theme="1"/>
      <name val="Calibri"/>
      <family val="2"/>
      <scheme val="minor"/>
    </font>
    <font>
      <b/>
      <u/>
      <sz val="12"/>
      <color theme="1"/>
      <name val="Calibri"/>
      <family val="2"/>
      <scheme val="minor"/>
    </font>
    <font>
      <b/>
      <sz val="12"/>
      <color theme="1"/>
      <name val="Calibri"/>
      <family val="2"/>
      <scheme val="minor"/>
    </font>
    <font>
      <b/>
      <sz val="9"/>
      <color indexed="81"/>
      <name val="Tahoma"/>
      <family val="2"/>
    </font>
    <font>
      <sz val="9"/>
      <color indexed="81"/>
      <name val="Tahoma"/>
      <family val="2"/>
    </font>
    <font>
      <b/>
      <sz val="11"/>
      <name val="Calibri"/>
      <family val="2"/>
      <scheme val="minor"/>
    </font>
    <font>
      <sz val="11"/>
      <color theme="0"/>
      <name val="Calibri"/>
      <family val="2"/>
      <scheme val="minor"/>
    </font>
    <font>
      <b/>
      <sz val="11"/>
      <color rgb="FF006100"/>
      <name val="Calibri"/>
      <family val="2"/>
      <scheme val="minor"/>
    </font>
    <font>
      <b/>
      <sz val="9"/>
      <color rgb="FF000000"/>
      <name val="Tahoma"/>
      <family val="2"/>
    </font>
    <font>
      <sz val="9"/>
      <color rgb="FF000000"/>
      <name val="Tahoma"/>
      <family val="2"/>
    </font>
    <font>
      <b/>
      <sz val="12"/>
      <color theme="1"/>
      <name val="Calibri (Body)"/>
    </font>
    <font>
      <sz val="11"/>
      <color rgb="FF000000"/>
      <name val="Calibri"/>
      <family val="2"/>
    </font>
    <font>
      <sz val="10"/>
      <color theme="1"/>
      <name val="HelveticaNeueLTStd"/>
    </font>
    <font>
      <b/>
      <sz val="8"/>
      <color theme="1"/>
      <name val="HelveticaNeueLTStd"/>
    </font>
    <font>
      <sz val="11"/>
      <color rgb="FF000000"/>
      <name val="Calibri"/>
      <family val="2"/>
      <scheme val="minor"/>
    </font>
    <font>
      <sz val="11"/>
      <color theme="5"/>
      <name val="Helvetica"/>
      <family val="2"/>
    </font>
    <font>
      <sz val="12"/>
      <color rgb="FF333333"/>
      <name val="Arial"/>
      <family val="2"/>
    </font>
  </fonts>
  <fills count="8">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14999847407452621"/>
        <bgColor theme="0" tint="-0.14999847407452621"/>
      </patternFill>
    </fill>
    <fill>
      <patternFill patternType="solid">
        <fgColor theme="9"/>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bottom style="double">
        <color rgb="FFFF8001"/>
      </bottom>
      <diagonal/>
    </border>
    <border>
      <left/>
      <right style="thin">
        <color auto="1"/>
      </right>
      <top/>
      <bottom style="double">
        <color rgb="FFFF8001"/>
      </bottom>
      <diagonal/>
    </border>
    <border>
      <left/>
      <right style="medium">
        <color auto="1"/>
      </right>
      <top/>
      <bottom/>
      <diagonal/>
    </border>
    <border>
      <left style="thin">
        <color auto="1"/>
      </left>
      <right/>
      <top style="double">
        <color rgb="FFFF8001"/>
      </top>
      <bottom style="double">
        <color rgb="FFFF8001"/>
      </bottom>
      <diagonal/>
    </border>
    <border>
      <left/>
      <right style="thin">
        <color auto="1"/>
      </right>
      <top style="double">
        <color rgb="FFFF8001"/>
      </top>
      <bottom style="double">
        <color rgb="FFFF8001"/>
      </bottom>
      <diagonal/>
    </border>
    <border>
      <left style="medium">
        <color auto="1"/>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style="medium">
        <color auto="1"/>
      </right>
      <top style="thin">
        <color rgb="FF7F7F7F"/>
      </top>
      <bottom style="thin">
        <color rgb="FF7F7F7F"/>
      </bottom>
      <diagonal/>
    </border>
    <border>
      <left style="thin">
        <color rgb="FF7F7F7F"/>
      </left>
      <right style="medium">
        <color auto="1"/>
      </right>
      <top style="thin">
        <color rgb="FF7F7F7F"/>
      </top>
      <bottom/>
      <diagonal/>
    </border>
    <border>
      <left style="thin">
        <color rgb="FF7F7F7F"/>
      </left>
      <right style="medium">
        <color auto="1"/>
      </right>
      <top style="thin">
        <color auto="1"/>
      </top>
      <bottom style="medium">
        <color auto="1"/>
      </bottom>
      <diagonal/>
    </border>
    <border>
      <left style="medium">
        <color auto="1"/>
      </left>
      <right/>
      <top style="thin">
        <color auto="1"/>
      </top>
      <bottom/>
      <diagonal/>
    </border>
    <border>
      <left style="thin">
        <color rgb="FF7F7F7F"/>
      </left>
      <right style="medium">
        <color auto="1"/>
      </right>
      <top style="thin">
        <color auto="1"/>
      </top>
      <bottom style="thin">
        <color rgb="FF7F7F7F"/>
      </bottom>
      <diagonal/>
    </border>
    <border>
      <left style="thin">
        <color rgb="FF7F7F7F"/>
      </left>
      <right style="medium">
        <color auto="1"/>
      </right>
      <top style="thin">
        <color rgb="FF7F7F7F"/>
      </top>
      <bottom style="medium">
        <color auto="1"/>
      </bottom>
      <diagonal/>
    </border>
    <border>
      <left style="thin">
        <color rgb="FF7F7F7F"/>
      </left>
      <right style="thin">
        <color rgb="FF7F7F7F"/>
      </right>
      <top style="thin">
        <color rgb="FF7F7F7F"/>
      </top>
      <bottom style="medium">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double">
        <color rgb="FFFF8001"/>
      </bottom>
      <diagonal/>
    </border>
    <border>
      <left style="medium">
        <color indexed="64"/>
      </left>
      <right style="thin">
        <color auto="1"/>
      </right>
      <top style="thin">
        <color auto="1"/>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thin">
        <color rgb="FF7F7F7F"/>
      </right>
      <top style="thin">
        <color rgb="FF7F7F7F"/>
      </top>
      <bottom style="thin">
        <color rgb="FF7F7F7F"/>
      </bottom>
      <diagonal/>
    </border>
  </borders>
  <cellStyleXfs count="36">
    <xf numFmtId="0" fontId="0" fillId="0" borderId="0"/>
    <xf numFmtId="165" fontId="1" fillId="0" borderId="0" applyFont="0" applyFill="0" applyBorder="0" applyAlignment="0" applyProtection="0"/>
    <xf numFmtId="0" fontId="9"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9" fontId="1" fillId="0" borderId="0" applyFon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165" fontId="1" fillId="0" borderId="0" applyFont="0" applyFill="0" applyBorder="0" applyAlignment="0" applyProtection="0"/>
    <xf numFmtId="0" fontId="21" fillId="3" borderId="13" applyNumberFormat="0" applyAlignment="0" applyProtection="0"/>
    <xf numFmtId="0" fontId="22" fillId="4" borderId="13" applyNumberFormat="0" applyAlignment="0" applyProtection="0"/>
    <xf numFmtId="0" fontId="23" fillId="0" borderId="14" applyNumberFormat="0" applyFill="0" applyAlignment="0" applyProtection="0"/>
    <xf numFmtId="0" fontId="24" fillId="5" borderId="15" applyNumberFormat="0" applyAlignment="0" applyProtection="0"/>
    <xf numFmtId="0" fontId="35" fillId="7" borderId="0" applyNumberFormat="0" applyBorder="0" applyAlignment="0" applyProtection="0"/>
    <xf numFmtId="0" fontId="14" fillId="0" borderId="0" applyNumberFormat="0" applyFill="0" applyBorder="0" applyAlignment="0" applyProtection="0"/>
  </cellStyleXfs>
  <cellXfs count="299">
    <xf numFmtId="0" fontId="0" fillId="0" borderId="0" xfId="0"/>
    <xf numFmtId="0" fontId="2" fillId="0" borderId="0" xfId="0" applyFont="1" applyFill="1"/>
    <xf numFmtId="2" fontId="2" fillId="0" borderId="0" xfId="0" applyNumberFormat="1" applyFont="1" applyFill="1"/>
    <xf numFmtId="0" fontId="3" fillId="0" borderId="0" xfId="0" applyFont="1" applyFill="1"/>
    <xf numFmtId="0" fontId="2"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Border="1" applyAlignment="1">
      <alignment horizontal="right"/>
    </xf>
    <xf numFmtId="0" fontId="2" fillId="0" borderId="0" xfId="0" applyFont="1" applyFill="1" applyBorder="1" applyAlignment="1">
      <alignment horizontal="right"/>
    </xf>
    <xf numFmtId="0" fontId="2" fillId="0" borderId="1" xfId="0" applyFont="1" applyFill="1" applyBorder="1" applyAlignment="1">
      <alignment horizontal="right"/>
    </xf>
    <xf numFmtId="0" fontId="2" fillId="0" borderId="1" xfId="0" applyFont="1" applyFill="1" applyBorder="1" applyAlignment="1">
      <alignment horizontal="right" vertical="center"/>
    </xf>
    <xf numFmtId="168" fontId="2" fillId="0" borderId="0" xfId="0" applyNumberFormat="1" applyFont="1" applyFill="1" applyBorder="1" applyAlignment="1">
      <alignment horizontal="right"/>
    </xf>
    <xf numFmtId="166" fontId="2" fillId="0" borderId="1" xfId="0" applyNumberFormat="1" applyFont="1" applyFill="1" applyBorder="1"/>
    <xf numFmtId="0" fontId="2" fillId="0" borderId="0" xfId="0" applyFont="1" applyFill="1" applyBorder="1" applyAlignment="1">
      <alignment horizontal="center" vertical="center" wrapText="1"/>
    </xf>
    <xf numFmtId="168" fontId="2" fillId="0" borderId="0" xfId="0" applyNumberFormat="1" applyFont="1" applyFill="1" applyBorder="1" applyAlignment="1">
      <alignment horizontal="left"/>
    </xf>
    <xf numFmtId="0" fontId="2" fillId="0" borderId="0" xfId="0" applyFont="1" applyFill="1" applyAlignment="1">
      <alignment horizontal="center"/>
    </xf>
    <xf numFmtId="2" fontId="2" fillId="0" borderId="0" xfId="0" applyNumberFormat="1" applyFont="1" applyFill="1" applyBorder="1"/>
    <xf numFmtId="2" fontId="3" fillId="0" borderId="0" xfId="0" applyNumberFormat="1" applyFont="1" applyFill="1" applyBorder="1" applyAlignment="1">
      <alignment horizontal="center"/>
    </xf>
    <xf numFmtId="2" fontId="3" fillId="0" borderId="0" xfId="0" applyNumberFormat="1" applyFont="1" applyFill="1" applyBorder="1"/>
    <xf numFmtId="0" fontId="3" fillId="0" borderId="0" xfId="0" applyFont="1" applyFill="1" applyBorder="1"/>
    <xf numFmtId="0" fontId="2" fillId="0" borderId="0" xfId="0" applyFont="1" applyFill="1" applyBorder="1" applyAlignment="1">
      <alignment horizontal="center"/>
    </xf>
    <xf numFmtId="2" fontId="5" fillId="0" borderId="1" xfId="0" applyNumberFormat="1" applyFont="1" applyBorder="1"/>
    <xf numFmtId="166" fontId="2" fillId="0" borderId="1" xfId="2" applyNumberFormat="1" applyFont="1" applyFill="1" applyBorder="1"/>
    <xf numFmtId="0" fontId="2" fillId="0" borderId="4" xfId="0" applyFont="1" applyFill="1" applyBorder="1" applyAlignment="1">
      <alignment horizontal="left"/>
    </xf>
    <xf numFmtId="2" fontId="11" fillId="0" borderId="0" xfId="4" applyNumberFormat="1" applyFill="1" applyBorder="1" applyAlignment="1">
      <alignment horizontal="left"/>
    </xf>
    <xf numFmtId="0" fontId="3" fillId="0" borderId="1" xfId="0" applyFont="1" applyFill="1" applyBorder="1" applyAlignment="1">
      <alignment horizontal="center"/>
    </xf>
    <xf numFmtId="0" fontId="3" fillId="0" borderId="1" xfId="0" applyFont="1" applyFill="1" applyBorder="1" applyAlignment="1">
      <alignment horizontal="right" vertical="center"/>
    </xf>
    <xf numFmtId="166" fontId="3" fillId="0" borderId="1" xfId="0" applyNumberFormat="1" applyFont="1" applyFill="1" applyBorder="1"/>
    <xf numFmtId="166" fontId="3" fillId="0" borderId="1" xfId="2" applyNumberFormat="1" applyFont="1" applyFill="1" applyBorder="1"/>
    <xf numFmtId="166" fontId="3" fillId="0" borderId="1" xfId="0" applyNumberFormat="1" applyFont="1" applyFill="1" applyBorder="1" applyAlignment="1">
      <alignment horizontal="right"/>
    </xf>
    <xf numFmtId="0" fontId="3" fillId="0" borderId="4" xfId="0" applyFont="1" applyFill="1" applyBorder="1" applyAlignment="1">
      <alignment horizontal="right"/>
    </xf>
    <xf numFmtId="3" fontId="0" fillId="0" borderId="0" xfId="0" applyNumberFormat="1"/>
    <xf numFmtId="164" fontId="0" fillId="0" borderId="0" xfId="0" applyNumberFormat="1"/>
    <xf numFmtId="166" fontId="0" fillId="0" borderId="0" xfId="0" applyNumberFormat="1"/>
    <xf numFmtId="167" fontId="2" fillId="0" borderId="0" xfId="2" applyNumberFormat="1" applyFont="1" applyFill="1" applyBorder="1" applyAlignment="1">
      <alignment horizontal="center"/>
    </xf>
    <xf numFmtId="166" fontId="0" fillId="0" borderId="1" xfId="0" applyNumberFormat="1" applyBorder="1"/>
    <xf numFmtId="0" fontId="4" fillId="0" borderId="0" xfId="0" applyFont="1" applyFill="1"/>
    <xf numFmtId="0" fontId="0" fillId="0" borderId="0" xfId="0"/>
    <xf numFmtId="0" fontId="13" fillId="0" borderId="0" xfId="0" applyFont="1"/>
    <xf numFmtId="0" fontId="3" fillId="0" borderId="4" xfId="0" applyFont="1" applyFill="1" applyBorder="1" applyAlignment="1">
      <alignment horizontal="center"/>
    </xf>
    <xf numFmtId="166" fontId="13" fillId="0" borderId="1" xfId="1" applyNumberFormat="1" applyFont="1" applyBorder="1"/>
    <xf numFmtId="166" fontId="0" fillId="0" borderId="1" xfId="1" applyNumberFormat="1" applyFont="1" applyBorder="1"/>
    <xf numFmtId="0" fontId="3" fillId="0" borderId="4" xfId="0" applyFont="1" applyFill="1" applyBorder="1"/>
    <xf numFmtId="0" fontId="2" fillId="0" borderId="4" xfId="2" applyFont="1" applyFill="1" applyBorder="1"/>
    <xf numFmtId="0" fontId="2" fillId="0" borderId="4" xfId="2" applyFont="1" applyFill="1" applyBorder="1" applyAlignment="1">
      <alignment horizontal="left"/>
    </xf>
    <xf numFmtId="167" fontId="2" fillId="0" borderId="3" xfId="2" applyNumberFormat="1" applyFont="1" applyFill="1" applyBorder="1" applyAlignment="1">
      <alignment horizontal="center"/>
    </xf>
    <xf numFmtId="0" fontId="3" fillId="0" borderId="8" xfId="0" applyFont="1" applyFill="1" applyBorder="1"/>
    <xf numFmtId="2" fontId="3" fillId="0" borderId="9" xfId="0" applyNumberFormat="1"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xf numFmtId="166" fontId="3" fillId="0" borderId="2" xfId="0" applyNumberFormat="1" applyFont="1" applyFill="1" applyBorder="1"/>
    <xf numFmtId="167" fontId="3" fillId="0" borderId="12" xfId="5" applyNumberFormat="1" applyFont="1" applyFill="1" applyBorder="1" applyAlignment="1">
      <alignment horizontal="center"/>
    </xf>
    <xf numFmtId="0" fontId="3" fillId="0" borderId="8" xfId="0" applyFont="1" applyFill="1" applyBorder="1" applyAlignment="1">
      <alignment horizontal="left"/>
    </xf>
    <xf numFmtId="0" fontId="2" fillId="0" borderId="4" xfId="0" applyFont="1" applyFill="1" applyBorder="1"/>
    <xf numFmtId="0" fontId="5" fillId="0" borderId="4" xfId="0" applyFont="1" applyBorder="1"/>
    <xf numFmtId="0" fontId="3" fillId="0" borderId="4" xfId="2" applyFont="1" applyFill="1" applyBorder="1"/>
    <xf numFmtId="0" fontId="3" fillId="0" borderId="8" xfId="0" applyFont="1" applyFill="1" applyBorder="1" applyAlignment="1">
      <alignment horizontal="center"/>
    </xf>
    <xf numFmtId="2" fontId="3" fillId="0" borderId="0" xfId="0" applyNumberFormat="1" applyFont="1" applyFill="1" applyBorder="1" applyAlignment="1">
      <alignment horizontal="right"/>
    </xf>
    <xf numFmtId="166" fontId="2" fillId="0" borderId="0" xfId="1" applyNumberFormat="1" applyFont="1" applyFill="1" applyAlignment="1">
      <alignment horizontal="left"/>
    </xf>
    <xf numFmtId="166" fontId="2" fillId="0" borderId="0" xfId="0" applyNumberFormat="1" applyFont="1" applyFill="1"/>
    <xf numFmtId="0" fontId="18" fillId="0" borderId="0" xfId="0" applyFont="1"/>
    <xf numFmtId="0" fontId="19" fillId="0" borderId="0" xfId="6" applyFont="1" applyFill="1" applyAlignment="1">
      <alignment horizontal="left"/>
    </xf>
    <xf numFmtId="0" fontId="19" fillId="0" borderId="1" xfId="0" applyFont="1" applyBorder="1" applyAlignment="1">
      <alignment horizontal="left"/>
    </xf>
    <xf numFmtId="166" fontId="18" fillId="0" borderId="0" xfId="0" applyNumberFormat="1" applyFont="1"/>
    <xf numFmtId="3" fontId="0" fillId="0" borderId="0" xfId="0" applyNumberFormat="1" applyAlignment="1">
      <alignment wrapText="1"/>
    </xf>
    <xf numFmtId="0" fontId="0" fillId="0" borderId="0" xfId="0" applyFont="1"/>
    <xf numFmtId="166" fontId="2" fillId="0" borderId="1" xfId="2" applyNumberFormat="1" applyFont="1" applyFill="1" applyBorder="1" applyAlignment="1">
      <alignment horizontal="right"/>
    </xf>
    <xf numFmtId="166" fontId="8" fillId="0" borderId="0" xfId="0" applyNumberFormat="1" applyFont="1" applyAlignment="1">
      <alignment horizontal="right"/>
    </xf>
    <xf numFmtId="166" fontId="3" fillId="0" borderId="2" xfId="0" applyNumberFormat="1" applyFont="1" applyFill="1" applyBorder="1" applyAlignment="1">
      <alignment horizontal="right"/>
    </xf>
    <xf numFmtId="166" fontId="2" fillId="0" borderId="0" xfId="1" applyNumberFormat="1" applyFont="1" applyFill="1" applyAlignment="1">
      <alignment horizontal="right"/>
    </xf>
    <xf numFmtId="166" fontId="18" fillId="0" borderId="1" xfId="1" applyNumberFormat="1" applyFont="1" applyBorder="1" applyAlignment="1">
      <alignment horizontal="right"/>
    </xf>
    <xf numFmtId="0" fontId="18" fillId="0" borderId="0" xfId="0" applyFont="1" applyAlignment="1">
      <alignment horizontal="right"/>
    </xf>
    <xf numFmtId="166" fontId="18" fillId="0" borderId="1" xfId="0" applyNumberFormat="1" applyFont="1" applyBorder="1" applyAlignment="1">
      <alignment horizontal="right"/>
    </xf>
    <xf numFmtId="0" fontId="16" fillId="0" borderId="0" xfId="3" applyFont="1" applyFill="1" applyBorder="1" applyAlignment="1"/>
    <xf numFmtId="0" fontId="2" fillId="0" borderId="1" xfId="0" applyFont="1" applyFill="1" applyBorder="1" applyAlignment="1">
      <alignment horizontal="left"/>
    </xf>
    <xf numFmtId="0" fontId="2" fillId="0" borderId="3" xfId="2" applyFont="1" applyFill="1" applyBorder="1" applyAlignment="1">
      <alignment horizontal="left"/>
    </xf>
    <xf numFmtId="0" fontId="2" fillId="0" borderId="1" xfId="2" applyFont="1" applyFill="1" applyBorder="1" applyAlignment="1">
      <alignment horizontal="left"/>
    </xf>
    <xf numFmtId="0" fontId="0" fillId="0" borderId="1" xfId="0" applyBorder="1" applyAlignment="1">
      <alignment horizontal="right"/>
    </xf>
    <xf numFmtId="0" fontId="13" fillId="0" borderId="1" xfId="0" applyFont="1" applyBorder="1" applyAlignment="1">
      <alignment horizontal="right"/>
    </xf>
    <xf numFmtId="0" fontId="20" fillId="0" borderId="0" xfId="0" applyFont="1"/>
    <xf numFmtId="0" fontId="3" fillId="0" borderId="1" xfId="0" applyFont="1" applyFill="1" applyBorder="1" applyAlignment="1">
      <alignment horizontal="left"/>
    </xf>
    <xf numFmtId="0" fontId="18" fillId="0" borderId="1" xfId="0" applyFont="1" applyBorder="1" applyAlignment="1">
      <alignment horizontal="right"/>
    </xf>
    <xf numFmtId="8" fontId="2" fillId="0" borderId="1" xfId="0" applyNumberFormat="1" applyFont="1" applyFill="1" applyBorder="1" applyAlignment="1">
      <alignment horizontal="left"/>
    </xf>
    <xf numFmtId="166" fontId="0" fillId="6" borderId="1" xfId="1" applyNumberFormat="1" applyFont="1" applyFill="1" applyBorder="1"/>
    <xf numFmtId="166" fontId="13" fillId="6" borderId="1" xfId="1" applyNumberFormat="1" applyFont="1" applyFill="1" applyBorder="1"/>
    <xf numFmtId="2" fontId="25" fillId="0" borderId="0" xfId="4" applyNumberFormat="1" applyFont="1" applyFill="1" applyBorder="1" applyAlignment="1">
      <alignment horizontal="left"/>
    </xf>
    <xf numFmtId="0" fontId="4" fillId="0" borderId="0" xfId="0" applyFont="1"/>
    <xf numFmtId="0" fontId="13" fillId="0" borderId="18" xfId="0" applyFont="1" applyBorder="1"/>
    <xf numFmtId="0" fontId="13" fillId="0" borderId="19" xfId="0" applyFont="1" applyBorder="1"/>
    <xf numFmtId="0" fontId="13" fillId="0" borderId="20" xfId="0" applyFont="1" applyBorder="1"/>
    <xf numFmtId="0" fontId="3" fillId="0" borderId="18" xfId="0" applyFont="1" applyBorder="1"/>
    <xf numFmtId="0" fontId="3" fillId="0" borderId="19" xfId="0" applyFont="1" applyBorder="1" applyAlignment="1">
      <alignment horizontal="center"/>
    </xf>
    <xf numFmtId="0" fontId="3" fillId="0" borderId="20" xfId="0" applyFont="1" applyBorder="1" applyAlignment="1">
      <alignment horizontal="center"/>
    </xf>
    <xf numFmtId="0" fontId="0" fillId="0" borderId="21" xfId="0" applyBorder="1"/>
    <xf numFmtId="0" fontId="0" fillId="0" borderId="24" xfId="0" applyBorder="1"/>
    <xf numFmtId="0" fontId="23" fillId="0" borderId="14" xfId="32"/>
    <xf numFmtId="0" fontId="22" fillId="4" borderId="24" xfId="31" applyBorder="1"/>
    <xf numFmtId="4" fontId="23" fillId="0" borderId="25" xfId="32" applyNumberFormat="1" applyBorder="1"/>
    <xf numFmtId="4" fontId="23" fillId="0" borderId="26" xfId="32" applyNumberFormat="1" applyBorder="1"/>
    <xf numFmtId="4" fontId="23" fillId="0" borderId="22" xfId="32" applyNumberFormat="1" applyBorder="1"/>
    <xf numFmtId="4" fontId="23" fillId="0" borderId="23" xfId="32" applyNumberFormat="1" applyBorder="1"/>
    <xf numFmtId="4" fontId="0" fillId="0" borderId="16" xfId="0" applyNumberFormat="1" applyBorder="1"/>
    <xf numFmtId="4" fontId="0" fillId="0" borderId="17" xfId="0" applyNumberFormat="1" applyBorder="1"/>
    <xf numFmtId="0" fontId="0" fillId="0" borderId="0" xfId="0" applyBorder="1"/>
    <xf numFmtId="0" fontId="0" fillId="0" borderId="28" xfId="0" applyBorder="1"/>
    <xf numFmtId="0" fontId="0" fillId="0" borderId="29" xfId="0" applyBorder="1"/>
    <xf numFmtId="0" fontId="0" fillId="0" borderId="30" xfId="0" applyBorder="1"/>
    <xf numFmtId="0" fontId="21" fillId="3" borderId="31" xfId="30" applyBorder="1"/>
    <xf numFmtId="0" fontId="21" fillId="3" borderId="24" xfId="30" applyBorder="1"/>
    <xf numFmtId="10" fontId="21" fillId="3" borderId="31" xfId="30" applyNumberFormat="1" applyBorder="1"/>
    <xf numFmtId="9" fontId="21" fillId="3" borderId="32" xfId="30" applyNumberFormat="1" applyBorder="1"/>
    <xf numFmtId="0" fontId="22" fillId="4" borderId="33" xfId="31" applyBorder="1"/>
    <xf numFmtId="0" fontId="13" fillId="0" borderId="21" xfId="0" applyFont="1" applyBorder="1"/>
    <xf numFmtId="0" fontId="27" fillId="3" borderId="24" xfId="30" applyFont="1" applyBorder="1"/>
    <xf numFmtId="0" fontId="22" fillId="4" borderId="24" xfId="31" applyFont="1" applyBorder="1"/>
    <xf numFmtId="0" fontId="13" fillId="0" borderId="28" xfId="0" applyFont="1" applyBorder="1"/>
    <xf numFmtId="0" fontId="22" fillId="0" borderId="30" xfId="32" applyFont="1" applyBorder="1"/>
    <xf numFmtId="0" fontId="28" fillId="0" borderId="21" xfId="0" applyFont="1" applyFill="1" applyBorder="1"/>
    <xf numFmtId="0" fontId="5" fillId="0" borderId="21" xfId="0" applyFont="1" applyFill="1" applyBorder="1" applyAlignment="1">
      <alignment horizontal="left" indent="2"/>
    </xf>
    <xf numFmtId="0" fontId="0" fillId="0" borderId="21" xfId="0" applyBorder="1" applyAlignment="1">
      <alignment horizontal="left" indent="2"/>
    </xf>
    <xf numFmtId="0" fontId="29" fillId="0" borderId="21" xfId="0" applyFont="1" applyBorder="1"/>
    <xf numFmtId="10" fontId="0" fillId="0" borderId="24" xfId="0" applyNumberFormat="1" applyBorder="1"/>
    <xf numFmtId="10" fontId="21" fillId="3" borderId="32" xfId="30" applyNumberFormat="1" applyBorder="1"/>
    <xf numFmtId="0" fontId="0" fillId="0" borderId="34" xfId="0" applyFill="1" applyBorder="1" applyAlignment="1">
      <alignment horizontal="left"/>
    </xf>
    <xf numFmtId="4" fontId="22" fillId="4" borderId="35" xfId="31" applyNumberFormat="1" applyBorder="1"/>
    <xf numFmtId="0" fontId="0" fillId="0" borderId="21" xfId="0" applyFill="1" applyBorder="1" applyAlignment="1">
      <alignment horizontal="left"/>
    </xf>
    <xf numFmtId="4" fontId="22" fillId="4" borderId="32" xfId="31" applyNumberFormat="1" applyBorder="1"/>
    <xf numFmtId="4" fontId="22" fillId="4" borderId="31" xfId="31" applyNumberFormat="1" applyBorder="1"/>
    <xf numFmtId="4" fontId="22" fillId="4" borderId="36" xfId="31" applyNumberFormat="1" applyBorder="1"/>
    <xf numFmtId="0" fontId="0" fillId="0" borderId="27" xfId="0" applyBorder="1"/>
    <xf numFmtId="0" fontId="26" fillId="0" borderId="18" xfId="0" applyFont="1" applyFill="1" applyBorder="1" applyAlignment="1">
      <alignment horizontal="center"/>
    </xf>
    <xf numFmtId="0" fontId="26" fillId="0" borderId="20" xfId="0" applyFont="1" applyFill="1" applyBorder="1" applyAlignment="1">
      <alignment horizontal="center"/>
    </xf>
    <xf numFmtId="166" fontId="23" fillId="6" borderId="14" xfId="32" applyNumberFormat="1" applyFill="1" applyAlignment="1">
      <alignment horizontal="right"/>
    </xf>
    <xf numFmtId="0" fontId="29" fillId="0" borderId="18" xfId="0" applyFont="1" applyBorder="1"/>
    <xf numFmtId="0" fontId="0" fillId="0" borderId="19" xfId="0" applyBorder="1"/>
    <xf numFmtId="0" fontId="0" fillId="0" borderId="20" xfId="0" applyBorder="1"/>
    <xf numFmtId="10" fontId="27" fillId="3" borderId="13" xfId="30" applyNumberFormat="1" applyFont="1" applyBorder="1"/>
    <xf numFmtId="2" fontId="22" fillId="4" borderId="37" xfId="31" applyNumberFormat="1" applyBorder="1"/>
    <xf numFmtId="0" fontId="27" fillId="3" borderId="13" xfId="30" applyFont="1" applyBorder="1"/>
    <xf numFmtId="0" fontId="0" fillId="0" borderId="28" xfId="0" applyFill="1" applyBorder="1"/>
    <xf numFmtId="0" fontId="22" fillId="4" borderId="37" xfId="31" applyBorder="1"/>
    <xf numFmtId="0" fontId="29" fillId="0" borderId="0" xfId="0" applyFont="1"/>
    <xf numFmtId="0" fontId="27" fillId="3" borderId="13" xfId="30" applyFont="1"/>
    <xf numFmtId="0" fontId="21" fillId="3" borderId="13" xfId="30"/>
    <xf numFmtId="9" fontId="27" fillId="3" borderId="13" xfId="30" applyNumberFormat="1" applyFont="1"/>
    <xf numFmtId="10" fontId="27" fillId="3" borderId="13" xfId="30" applyNumberFormat="1" applyFont="1"/>
    <xf numFmtId="1" fontId="27" fillId="3" borderId="13" xfId="30" applyNumberFormat="1" applyFont="1"/>
    <xf numFmtId="0" fontId="0" fillId="0" borderId="0" xfId="0" applyFill="1" applyBorder="1"/>
    <xf numFmtId="0" fontId="22" fillId="4" borderId="13" xfId="31"/>
    <xf numFmtId="10" fontId="21" fillId="3" borderId="13" xfId="30" applyNumberFormat="1"/>
    <xf numFmtId="0" fontId="29" fillId="0" borderId="0" xfId="0" applyFont="1" applyFill="1" applyBorder="1"/>
    <xf numFmtId="166" fontId="23" fillId="0" borderId="14" xfId="32" applyNumberFormat="1" applyFill="1" applyAlignment="1">
      <alignment horizontal="right" vertical="center"/>
    </xf>
    <xf numFmtId="166" fontId="22" fillId="4" borderId="13" xfId="31" applyNumberFormat="1" applyAlignment="1">
      <alignment horizontal="right" vertical="center"/>
    </xf>
    <xf numFmtId="166" fontId="23" fillId="0" borderId="41" xfId="32" applyNumberFormat="1" applyFill="1" applyBorder="1" applyAlignment="1">
      <alignment horizontal="right" vertical="center"/>
    </xf>
    <xf numFmtId="0" fontId="3" fillId="0" borderId="42" xfId="0" applyFont="1" applyFill="1" applyBorder="1" applyAlignment="1">
      <alignment horizontal="right" vertical="center"/>
    </xf>
    <xf numFmtId="166" fontId="22" fillId="4" borderId="36" xfId="31" applyNumberFormat="1" applyBorder="1" applyAlignment="1">
      <alignment horizontal="right" vertical="center"/>
    </xf>
    <xf numFmtId="10" fontId="27" fillId="3" borderId="31" xfId="30" applyNumberFormat="1" applyFont="1" applyBorder="1"/>
    <xf numFmtId="0" fontId="13" fillId="0" borderId="0" xfId="0" applyFont="1" applyFill="1" applyBorder="1"/>
    <xf numFmtId="0" fontId="29" fillId="0" borderId="19" xfId="0" applyFont="1" applyBorder="1"/>
    <xf numFmtId="0" fontId="29" fillId="0" borderId="20" xfId="0" applyFont="1" applyBorder="1"/>
    <xf numFmtId="0" fontId="23" fillId="0" borderId="14" xfId="32" applyBorder="1"/>
    <xf numFmtId="0" fontId="23" fillId="0" borderId="41" xfId="32" applyBorder="1"/>
    <xf numFmtId="2" fontId="23" fillId="0" borderId="14" xfId="32" applyNumberFormat="1" applyBorder="1"/>
    <xf numFmtId="2" fontId="23" fillId="0" borderId="41" xfId="32" applyNumberFormat="1" applyBorder="1"/>
    <xf numFmtId="1" fontId="23" fillId="0" borderId="14" xfId="32" applyNumberFormat="1" applyBorder="1"/>
    <xf numFmtId="1" fontId="23" fillId="0" borderId="41" xfId="32" applyNumberFormat="1" applyBorder="1"/>
    <xf numFmtId="166" fontId="23" fillId="0" borderId="41" xfId="32" applyNumberFormat="1" applyBorder="1"/>
    <xf numFmtId="0" fontId="22" fillId="4" borderId="13" xfId="31" applyBorder="1"/>
    <xf numFmtId="0" fontId="0" fillId="0" borderId="21" xfId="0" applyFill="1" applyBorder="1"/>
    <xf numFmtId="2" fontId="22" fillId="4" borderId="13" xfId="31" applyNumberFormat="1" applyBorder="1"/>
    <xf numFmtId="0" fontId="22" fillId="4" borderId="31" xfId="31" applyBorder="1"/>
    <xf numFmtId="0" fontId="13" fillId="0" borderId="28" xfId="0" applyFont="1" applyFill="1" applyBorder="1"/>
    <xf numFmtId="2" fontId="22" fillId="4" borderId="37" xfId="31" applyNumberFormat="1" applyFont="1" applyBorder="1"/>
    <xf numFmtId="2" fontId="22" fillId="4" borderId="36" xfId="31" applyNumberFormat="1" applyFont="1" applyBorder="1"/>
    <xf numFmtId="166" fontId="3" fillId="0" borderId="0" xfId="0" applyNumberFormat="1" applyFont="1" applyFill="1" applyBorder="1" applyAlignment="1">
      <alignment horizontal="center"/>
    </xf>
    <xf numFmtId="4" fontId="24" fillId="5" borderId="15" xfId="33" applyNumberFormat="1"/>
    <xf numFmtId="0" fontId="0" fillId="0" borderId="0" xfId="0"/>
    <xf numFmtId="167" fontId="0" fillId="0" borderId="0" xfId="5" applyNumberFormat="1" applyFont="1"/>
    <xf numFmtId="166" fontId="2" fillId="0" borderId="1" xfId="0" applyNumberFormat="1" applyFont="1" applyFill="1" applyBorder="1" applyAlignment="1">
      <alignment horizontal="right"/>
    </xf>
    <xf numFmtId="166" fontId="13" fillId="0" borderId="1" xfId="1" applyNumberFormat="1" applyFont="1" applyBorder="1" applyAlignment="1">
      <alignment horizontal="right"/>
    </xf>
    <xf numFmtId="165" fontId="0" fillId="0" borderId="0" xfId="1" applyFont="1"/>
    <xf numFmtId="0" fontId="0" fillId="0" borderId="0" xfId="0"/>
    <xf numFmtId="0" fontId="0" fillId="0" borderId="0" xfId="0"/>
    <xf numFmtId="0" fontId="22" fillId="4" borderId="0" xfId="31" applyBorder="1"/>
    <xf numFmtId="9" fontId="0" fillId="0" borderId="0" xfId="5" applyFont="1"/>
    <xf numFmtId="0" fontId="9" fillId="2" borderId="0" xfId="2"/>
    <xf numFmtId="0" fontId="9" fillId="2" borderId="13" xfId="2" applyBorder="1"/>
    <xf numFmtId="9" fontId="9" fillId="2" borderId="13" xfId="2" applyNumberFormat="1" applyBorder="1"/>
    <xf numFmtId="10" fontId="9" fillId="2" borderId="13" xfId="2" applyNumberFormat="1" applyBorder="1"/>
    <xf numFmtId="0" fontId="14" fillId="0" borderId="0" xfId="35"/>
    <xf numFmtId="0" fontId="9" fillId="2" borderId="0" xfId="2" applyBorder="1"/>
    <xf numFmtId="0" fontId="9" fillId="2" borderId="40" xfId="2" applyBorder="1" applyAlignment="1">
      <alignment horizontal="right" vertical="center"/>
    </xf>
    <xf numFmtId="0" fontId="9" fillId="2" borderId="18" xfId="2" applyBorder="1"/>
    <xf numFmtId="0" fontId="0" fillId="0" borderId="0" xfId="0"/>
    <xf numFmtId="0" fontId="3" fillId="0" borderId="3" xfId="0" applyFont="1" applyFill="1" applyBorder="1" applyAlignment="1">
      <alignment horizontal="left"/>
    </xf>
    <xf numFmtId="6" fontId="18" fillId="0" borderId="0" xfId="0" applyNumberFormat="1" applyFont="1"/>
    <xf numFmtId="0" fontId="0" fillId="0" borderId="0" xfId="0"/>
    <xf numFmtId="0" fontId="39" fillId="0" borderId="0" xfId="0" applyFont="1"/>
    <xf numFmtId="0" fontId="35" fillId="0" borderId="0" xfId="34" applyFill="1"/>
    <xf numFmtId="3" fontId="21" fillId="3" borderId="31" xfId="30" applyNumberFormat="1" applyBorder="1"/>
    <xf numFmtId="2" fontId="22" fillId="4" borderId="36" xfId="31" applyNumberFormat="1" applyBorder="1"/>
    <xf numFmtId="2" fontId="22" fillId="4" borderId="31" xfId="31" applyNumberFormat="1" applyBorder="1"/>
    <xf numFmtId="166" fontId="8" fillId="0" borderId="1" xfId="0" applyNumberFormat="1" applyFont="1" applyFill="1" applyBorder="1" applyAlignment="1">
      <alignment horizontal="right"/>
    </xf>
    <xf numFmtId="166" fontId="2" fillId="0" borderId="0" xfId="2" applyNumberFormat="1" applyFont="1" applyFill="1" applyBorder="1" applyAlignment="1">
      <alignment horizontal="right"/>
    </xf>
    <xf numFmtId="0" fontId="40" fillId="0" borderId="0" xfId="0" applyFont="1" applyBorder="1" applyAlignment="1">
      <alignment horizontal="left"/>
    </xf>
    <xf numFmtId="166" fontId="3" fillId="0" borderId="1" xfId="1" applyNumberFormat="1" applyFont="1" applyFill="1" applyBorder="1" applyAlignment="1">
      <alignment horizontal="right"/>
    </xf>
    <xf numFmtId="166" fontId="34" fillId="0" borderId="1" xfId="0" applyNumberFormat="1" applyFont="1" applyFill="1" applyBorder="1" applyAlignment="1">
      <alignment horizontal="right"/>
    </xf>
    <xf numFmtId="0" fontId="2" fillId="0" borderId="1" xfId="2" applyFont="1" applyFill="1" applyBorder="1"/>
    <xf numFmtId="0" fontId="41" fillId="0" borderId="0" xfId="0" applyFont="1"/>
    <xf numFmtId="0" fontId="42" fillId="0" borderId="0" xfId="0" applyFont="1"/>
    <xf numFmtId="0" fontId="0" fillId="0" borderId="43" xfId="0" applyBorder="1"/>
    <xf numFmtId="0" fontId="18" fillId="0" borderId="43" xfId="34" applyFont="1" applyFill="1" applyBorder="1"/>
    <xf numFmtId="0" fontId="0" fillId="0" borderId="43" xfId="0" applyFill="1" applyBorder="1"/>
    <xf numFmtId="9" fontId="0" fillId="0" borderId="43" xfId="0" applyNumberFormat="1" applyBorder="1"/>
    <xf numFmtId="0" fontId="22" fillId="4" borderId="43" xfId="31" applyBorder="1"/>
    <xf numFmtId="0" fontId="43" fillId="0" borderId="0" xfId="0" applyFont="1" applyAlignment="1">
      <alignment vertical="center"/>
    </xf>
    <xf numFmtId="166" fontId="19" fillId="0" borderId="1" xfId="0" applyNumberFormat="1" applyFont="1" applyBorder="1" applyAlignment="1">
      <alignment horizontal="right"/>
    </xf>
    <xf numFmtId="0" fontId="34" fillId="0" borderId="1" xfId="0" applyFont="1" applyBorder="1" applyAlignment="1">
      <alignment horizontal="left"/>
    </xf>
    <xf numFmtId="0" fontId="3" fillId="0" borderId="1" xfId="2" applyFont="1" applyFill="1" applyBorder="1" applyAlignment="1">
      <alignment horizontal="left"/>
    </xf>
    <xf numFmtId="166" fontId="18" fillId="0" borderId="0" xfId="0" applyNumberFormat="1" applyFont="1" applyAlignment="1">
      <alignment horizontal="right"/>
    </xf>
    <xf numFmtId="0" fontId="18" fillId="0" borderId="1" xfId="0" applyFont="1" applyBorder="1" applyAlignment="1">
      <alignment horizontal="left"/>
    </xf>
    <xf numFmtId="166" fontId="18" fillId="0" borderId="1" xfId="1" applyNumberFormat="1" applyFont="1" applyBorder="1"/>
    <xf numFmtId="0" fontId="3" fillId="0" borderId="1" xfId="0" applyFont="1" applyBorder="1" applyAlignment="1">
      <alignment horizontal="left"/>
    </xf>
    <xf numFmtId="166" fontId="3" fillId="0" borderId="1" xfId="1" applyNumberFormat="1" applyFont="1" applyBorder="1" applyAlignment="1">
      <alignment horizontal="right"/>
    </xf>
    <xf numFmtId="164" fontId="0" fillId="0" borderId="10" xfId="0" applyNumberFormat="1" applyBorder="1"/>
    <xf numFmtId="0" fontId="0" fillId="0" borderId="1" xfId="0" applyBorder="1"/>
    <xf numFmtId="4" fontId="2" fillId="0" borderId="3" xfId="0" applyNumberFormat="1" applyFont="1" applyFill="1" applyBorder="1" applyAlignment="1">
      <alignment horizontal="right"/>
    </xf>
    <xf numFmtId="166" fontId="23" fillId="0" borderId="1" xfId="32" applyNumberFormat="1" applyFill="1" applyBorder="1"/>
    <xf numFmtId="4" fontId="23" fillId="0" borderId="3" xfId="32" applyNumberFormat="1" applyFill="1" applyBorder="1" applyAlignment="1">
      <alignment horizontal="right"/>
    </xf>
    <xf numFmtId="166" fontId="23" fillId="0" borderId="1" xfId="32" applyNumberFormat="1" applyFill="1" applyBorder="1" applyAlignment="1">
      <alignment horizontal="right"/>
    </xf>
    <xf numFmtId="0" fontId="23" fillId="0" borderId="1" xfId="32" applyBorder="1"/>
    <xf numFmtId="4" fontId="2" fillId="0" borderId="12" xfId="0" applyNumberFormat="1" applyFont="1" applyFill="1" applyBorder="1"/>
    <xf numFmtId="0" fontId="2" fillId="0" borderId="1" xfId="0" applyFont="1" applyFill="1" applyBorder="1"/>
    <xf numFmtId="166" fontId="21" fillId="3" borderId="1" xfId="30" applyNumberFormat="1" applyBorder="1"/>
    <xf numFmtId="4" fontId="23" fillId="0" borderId="1" xfId="32" applyNumberFormat="1" applyFill="1" applyBorder="1"/>
    <xf numFmtId="4" fontId="23" fillId="0" borderId="1" xfId="32" applyNumberFormat="1" applyBorder="1"/>
    <xf numFmtId="166" fontId="19" fillId="0" borderId="1" xfId="0" applyNumberFormat="1" applyFont="1" applyFill="1" applyBorder="1" applyAlignment="1">
      <alignment horizontal="right"/>
    </xf>
    <xf numFmtId="169" fontId="2" fillId="0" borderId="1" xfId="0" applyNumberFormat="1" applyFont="1" applyFill="1" applyBorder="1"/>
    <xf numFmtId="0" fontId="44" fillId="0" borderId="0" xfId="0" applyFont="1"/>
    <xf numFmtId="0" fontId="0" fillId="0" borderId="0" xfId="0"/>
    <xf numFmtId="0" fontId="36" fillId="2" borderId="0" xfId="2" applyFont="1" applyBorder="1"/>
    <xf numFmtId="9" fontId="22" fillId="4" borderId="13" xfId="31" applyNumberFormat="1" applyBorder="1"/>
    <xf numFmtId="0" fontId="22" fillId="4" borderId="44" xfId="31" applyBorder="1"/>
    <xf numFmtId="0" fontId="45" fillId="0" borderId="0" xfId="0" applyFont="1"/>
    <xf numFmtId="9" fontId="0" fillId="0" borderId="0" xfId="0" applyNumberFormat="1" applyBorder="1"/>
    <xf numFmtId="10" fontId="9" fillId="2" borderId="0" xfId="2" applyNumberFormat="1" applyBorder="1"/>
    <xf numFmtId="4" fontId="22" fillId="4" borderId="1" xfId="31" applyNumberFormat="1" applyBorder="1"/>
    <xf numFmtId="0" fontId="18" fillId="0" borderId="0" xfId="5" applyNumberFormat="1" applyFont="1"/>
    <xf numFmtId="0" fontId="13" fillId="0" borderId="1" xfId="0" applyFont="1" applyBorder="1"/>
    <xf numFmtId="166" fontId="13" fillId="0" borderId="1" xfId="0" applyNumberFormat="1" applyFont="1" applyBorder="1" applyAlignment="1">
      <alignment horizontal="right"/>
    </xf>
    <xf numFmtId="2" fontId="3" fillId="0" borderId="1" xfId="0" applyNumberFormat="1" applyFont="1" applyFill="1" applyBorder="1" applyAlignment="1">
      <alignment horizontal="left"/>
    </xf>
    <xf numFmtId="0" fontId="0" fillId="0" borderId="4" xfId="0" applyBorder="1" applyAlignment="1">
      <alignment horizontal="center"/>
    </xf>
    <xf numFmtId="4" fontId="0" fillId="0" borderId="0" xfId="0" applyNumberFormat="1"/>
    <xf numFmtId="0" fontId="6" fillId="0" borderId="1" xfId="0" applyFont="1" applyBorder="1" applyAlignment="1">
      <alignment horizontal="center"/>
    </xf>
    <xf numFmtId="8" fontId="3" fillId="0" borderId="1" xfId="0" applyNumberFormat="1" applyFont="1" applyFill="1" applyBorder="1" applyAlignment="1">
      <alignment horizontal="center"/>
    </xf>
    <xf numFmtId="0" fontId="2" fillId="0" borderId="3" xfId="0" applyFont="1" applyFill="1" applyBorder="1" applyAlignment="1">
      <alignment horizontal="left"/>
    </xf>
    <xf numFmtId="0" fontId="11" fillId="0" borderId="0" xfId="4" applyFill="1" applyBorder="1" applyAlignment="1">
      <alignment horizontal="left"/>
    </xf>
    <xf numFmtId="0" fontId="0" fillId="0" borderId="0" xfId="0" applyAlignment="1"/>
    <xf numFmtId="0" fontId="0" fillId="0" borderId="0" xfId="0"/>
    <xf numFmtId="0" fontId="0" fillId="0" borderId="0" xfId="0" applyFont="1" applyAlignment="1">
      <alignment horizontal="left"/>
    </xf>
    <xf numFmtId="0" fontId="18" fillId="0" borderId="0" xfId="0" applyFont="1" applyAlignment="1">
      <alignment horizontal="left"/>
    </xf>
    <xf numFmtId="0" fontId="3" fillId="0" borderId="3" xfId="0" applyFont="1" applyFill="1" applyBorder="1" applyAlignment="1">
      <alignment horizontal="center"/>
    </xf>
    <xf numFmtId="0" fontId="16" fillId="0" borderId="0" xfId="3" applyFont="1" applyFill="1" applyBorder="1" applyAlignment="1">
      <alignment horizontal="left"/>
    </xf>
    <xf numFmtId="0" fontId="2" fillId="0" borderId="3" xfId="0" applyFont="1" applyFill="1" applyBorder="1" applyAlignment="1">
      <alignment horizontal="left"/>
    </xf>
    <xf numFmtId="0" fontId="0" fillId="0" borderId="5" xfId="0" applyBorder="1" applyAlignment="1"/>
    <xf numFmtId="0" fontId="0" fillId="0" borderId="4" xfId="0" applyBorder="1" applyAlignment="1"/>
    <xf numFmtId="0" fontId="11" fillId="0" borderId="0" xfId="4" applyFill="1" applyBorder="1" applyAlignment="1">
      <alignment horizontal="left"/>
    </xf>
    <xf numFmtId="0" fontId="0" fillId="0" borderId="0" xfId="0" applyAlignment="1"/>
    <xf numFmtId="0" fontId="13" fillId="0" borderId="0" xfId="0" applyFont="1" applyAlignment="1">
      <alignment horizontal="center"/>
    </xf>
    <xf numFmtId="0" fontId="20" fillId="0" borderId="18" xfId="0" applyFont="1" applyBorder="1" applyAlignment="1">
      <alignment horizontal="center"/>
    </xf>
    <xf numFmtId="0" fontId="20" fillId="0" borderId="20" xfId="0" applyFont="1" applyBorder="1" applyAlignment="1">
      <alignment horizontal="center"/>
    </xf>
    <xf numFmtId="0" fontId="13" fillId="0" borderId="18" xfId="0" applyFont="1" applyBorder="1" applyAlignment="1">
      <alignment horizontal="center"/>
    </xf>
    <xf numFmtId="0" fontId="13" fillId="0" borderId="20" xfId="0" applyFont="1" applyBorder="1" applyAlignment="1">
      <alignment horizont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13" fillId="0" borderId="3" xfId="0" applyFont="1" applyBorder="1" applyAlignment="1">
      <alignment horizontal="center"/>
    </xf>
    <xf numFmtId="0" fontId="13" fillId="0" borderId="4" xfId="0" applyFont="1" applyBorder="1" applyAlignment="1">
      <alignment horizontal="center"/>
    </xf>
    <xf numFmtId="0" fontId="0" fillId="0" borderId="0" xfId="0" applyFont="1" applyAlignment="1">
      <alignment horizontal="left"/>
    </xf>
    <xf numFmtId="0" fontId="18" fillId="0" borderId="0" xfId="0" applyFont="1" applyAlignment="1">
      <alignment horizontal="left"/>
    </xf>
    <xf numFmtId="0" fontId="17" fillId="0" borderId="0" xfId="0" applyFont="1" applyFill="1" applyAlignment="1">
      <alignment horizontal="center"/>
    </xf>
    <xf numFmtId="0" fontId="3" fillId="0" borderId="3" xfId="0" applyFont="1" applyFill="1" applyBorder="1" applyAlignment="1">
      <alignment horizontal="center"/>
    </xf>
    <xf numFmtId="2" fontId="2" fillId="0" borderId="1" xfId="0" applyNumberFormat="1" applyFont="1" applyFill="1" applyBorder="1" applyAlignment="1">
      <alignment horizontal="left"/>
    </xf>
    <xf numFmtId="166" fontId="2" fillId="0" borderId="1" xfId="0" applyNumberFormat="1" applyFont="1" applyFill="1" applyBorder="1" applyAlignment="1">
      <alignment horizontal="right" vertical="center"/>
    </xf>
    <xf numFmtId="0" fontId="3" fillId="0" borderId="0" xfId="0" applyFont="1" applyFill="1" applyBorder="1" applyAlignment="1">
      <alignment horizontal="left"/>
    </xf>
    <xf numFmtId="166" fontId="3" fillId="0" borderId="0" xfId="0" applyNumberFormat="1" applyFont="1" applyFill="1" applyBorder="1" applyAlignment="1">
      <alignment horizontal="right"/>
    </xf>
    <xf numFmtId="0" fontId="2" fillId="0" borderId="0" xfId="0" applyFont="1" applyFill="1" applyAlignment="1">
      <alignment horizontal="left"/>
    </xf>
    <xf numFmtId="0" fontId="2" fillId="0" borderId="0" xfId="0" applyFont="1" applyFill="1" applyAlignment="1">
      <alignment horizontal="right"/>
    </xf>
    <xf numFmtId="0" fontId="3" fillId="0" borderId="4" xfId="0" applyFont="1" applyFill="1" applyBorder="1" applyAlignment="1">
      <alignment horizontal="center"/>
    </xf>
    <xf numFmtId="0" fontId="3" fillId="0" borderId="0" xfId="0" applyFont="1" applyFill="1" applyAlignment="1">
      <alignment horizontal="left"/>
    </xf>
    <xf numFmtId="166" fontId="3" fillId="0" borderId="1" xfId="0" applyNumberFormat="1" applyFont="1" applyFill="1" applyBorder="1" applyAlignment="1">
      <alignment horizontal="right" vertical="center"/>
    </xf>
    <xf numFmtId="0" fontId="3" fillId="0" borderId="3" xfId="2" applyFont="1" applyFill="1" applyBorder="1" applyAlignment="1">
      <alignment horizontal="center"/>
    </xf>
    <xf numFmtId="0" fontId="3" fillId="0" borderId="4" xfId="2" applyFont="1" applyFill="1" applyBorder="1" applyAlignment="1">
      <alignment horizontal="right"/>
    </xf>
    <xf numFmtId="166" fontId="6" fillId="0" borderId="1" xfId="0" applyNumberFormat="1" applyFont="1" applyBorder="1" applyAlignment="1">
      <alignment horizontal="right"/>
    </xf>
    <xf numFmtId="0" fontId="6" fillId="0" borderId="0" xfId="0" applyFont="1" applyBorder="1" applyAlignment="1">
      <alignment horizontal="left"/>
    </xf>
    <xf numFmtId="0" fontId="6" fillId="0" borderId="1" xfId="0" applyFont="1" applyBorder="1" applyAlignment="1">
      <alignment horizontal="right"/>
    </xf>
    <xf numFmtId="0" fontId="6" fillId="0" borderId="0" xfId="0" applyFont="1" applyBorder="1" applyAlignment="1">
      <alignment horizontal="right"/>
    </xf>
  </cellXfs>
  <cellStyles count="36">
    <cellStyle name="Accent6" xfId="34" builtinId="49"/>
    <cellStyle name="Calculation" xfId="31" builtinId="22"/>
    <cellStyle name="Check Cell" xfId="33" builtinId="23"/>
    <cellStyle name="Currency" xfId="1" builtinId="4"/>
    <cellStyle name="Currency 2" xfId="29" xr:uid="{00000000-0005-0000-0000-000003000000}"/>
    <cellStyle name="Followed Hyperlink" xfId="18" builtinId="9" hidden="1"/>
    <cellStyle name="Followed Hyperlink" xfId="12"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8" builtinId="9" hidden="1"/>
    <cellStyle name="Followed Hyperlink" xfId="14" builtinId="9" hidden="1"/>
    <cellStyle name="Followed Hyperlink" xfId="16" builtinId="9" hidden="1"/>
    <cellStyle name="Followed Hyperlink" xfId="20" builtinId="9" hidden="1"/>
    <cellStyle name="Followed Hyperlink" xfId="10" builtinId="9" hidden="1"/>
    <cellStyle name="Good" xfId="2" builtinId="26"/>
    <cellStyle name="Heading 1" xfId="3" builtinId="16"/>
    <cellStyle name="Heading 2" xfId="4" builtinId="17"/>
    <cellStyle name="Hyperlink" xfId="19" builtinId="8" hidden="1"/>
    <cellStyle name="Hyperlink" xfId="23" builtinId="8" hidden="1"/>
    <cellStyle name="Hyperlink" xfId="25" builtinId="8" hidden="1"/>
    <cellStyle name="Hyperlink" xfId="7" builtinId="8" hidden="1"/>
    <cellStyle name="Hyperlink" xfId="27" builtinId="8" hidden="1"/>
    <cellStyle name="Hyperlink" xfId="13" builtinId="8" hidden="1"/>
    <cellStyle name="Hyperlink" xfId="15" builtinId="8" hidden="1"/>
    <cellStyle name="Hyperlink" xfId="17" builtinId="8" hidden="1"/>
    <cellStyle name="Hyperlink" xfId="9" builtinId="8" hidden="1"/>
    <cellStyle name="Hyperlink" xfId="11" builtinId="8" hidden="1"/>
    <cellStyle name="Hyperlink" xfId="21" builtinId="8" hidden="1"/>
    <cellStyle name="Hyperlink" xfId="35" builtinId="8"/>
    <cellStyle name="Input" xfId="30" builtinId="20"/>
    <cellStyle name="Linked Cell" xfId="32" builtinId="24"/>
    <cellStyle name="Normal" xfId="0" builtinId="0"/>
    <cellStyle name="Percent" xfId="5" builtinId="5"/>
    <cellStyle name="Warning Text" xfId="6" builtinId="11"/>
  </cellStyles>
  <dxfs count="22">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7" formatCode="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bottom style="thin">
          <color auto="1"/>
        </bottom>
      </border>
    </dxf>
    <dxf>
      <border outline="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63</xdr:row>
      <xdr:rowOff>0</xdr:rowOff>
    </xdr:from>
    <xdr:to>
      <xdr:col>2</xdr:col>
      <xdr:colOff>266700</xdr:colOff>
      <xdr:row>63</xdr:row>
      <xdr:rowOff>12700</xdr:rowOff>
    </xdr:to>
    <xdr:pic>
      <xdr:nvPicPr>
        <xdr:cNvPr id="2" name="Picture 1" descr="page10image2643406880">
          <a:extLst>
            <a:ext uri="{FF2B5EF4-FFF2-40B4-BE49-F238E27FC236}">
              <a16:creationId xmlns:a16="http://schemas.microsoft.com/office/drawing/2014/main" id="{1B06AE58-849C-F548-A5F7-26AABAFF4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68000"/>
          <a:ext cx="42545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0</xdr:rowOff>
    </xdr:from>
    <xdr:to>
      <xdr:col>5</xdr:col>
      <xdr:colOff>457200</xdr:colOff>
      <xdr:row>66</xdr:row>
      <xdr:rowOff>114300</xdr:rowOff>
    </xdr:to>
    <xdr:pic>
      <xdr:nvPicPr>
        <xdr:cNvPr id="3" name="Picture 2">
          <a:extLst>
            <a:ext uri="{FF2B5EF4-FFF2-40B4-BE49-F238E27FC236}">
              <a16:creationId xmlns:a16="http://schemas.microsoft.com/office/drawing/2014/main" id="{603C4FAB-DFFE-1342-884D-F2152DB2711F}"/>
            </a:ext>
          </a:extLst>
        </xdr:cNvPr>
        <xdr:cNvPicPr>
          <a:picLocks noChangeAspect="1"/>
        </xdr:cNvPicPr>
      </xdr:nvPicPr>
      <xdr:blipFill>
        <a:blip xmlns:r="http://schemas.openxmlformats.org/officeDocument/2006/relationships" r:embed="rId2"/>
        <a:stretch>
          <a:fillRect/>
        </a:stretch>
      </xdr:blipFill>
      <xdr:spPr>
        <a:xfrm>
          <a:off x="0" y="9906000"/>
          <a:ext cx="7251700" cy="24003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5:D16" totalsRowShown="0" headerRowBorderDxfId="20" tableBorderDxfId="21">
  <autoFilter ref="A5:D16" xr:uid="{00000000-0009-0000-0100-000003000000}"/>
  <tableColumns count="4">
    <tableColumn id="1" xr3:uid="{00000000-0010-0000-0100-000001000000}" name="Item" dataDxfId="19" dataCellStyle="Good"/>
    <tableColumn id="2" xr3:uid="{00000000-0010-0000-0100-000002000000}" name="Monthly" dataDxfId="18" dataCellStyle="Good"/>
    <tableColumn id="3" xr3:uid="{00000000-0010-0000-0100-000003000000}" name="Annually" dataDxfId="17" dataCellStyle="Good"/>
    <tableColumn id="4" xr3:uid="{00000000-0010-0000-0100-000004000000}" name="% of Total" dataDxfId="16" dataCellStyle="Good"/>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19:D26" totalsRowShown="0" headerRowDxfId="15" headerRowBorderDxfId="13" tableBorderDxfId="14" totalsRowBorderDxfId="12">
  <autoFilter ref="A19:D26" xr:uid="{00000000-0009-0000-0100-000004000000}"/>
  <tableColumns count="4">
    <tableColumn id="1" xr3:uid="{00000000-0010-0000-0200-000001000000}" name="Income" dataDxfId="11" dataCellStyle="Good"/>
    <tableColumn id="2" xr3:uid="{00000000-0010-0000-0200-000002000000}" name="Monthly" dataDxfId="10" dataCellStyle="Good"/>
    <tableColumn id="3" xr3:uid="{00000000-0010-0000-0200-000003000000}" name="Annually" dataDxfId="9" dataCellStyle="Good"/>
    <tableColumn id="4" xr3:uid="{00000000-0010-0000-0200-000004000000}" name="No CBB at FNI" dataDxfId="8">
      <calculatedColumnFormula>'Gov Transfers '!I39</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5:D47" totalsRowShown="0" headerRowDxfId="7" headerRowBorderDxfId="5" tableBorderDxfId="6" totalsRowBorderDxfId="4">
  <autoFilter ref="A35:D47" xr:uid="{00000000-0009-0000-0100-000005000000}"/>
  <tableColumns count="4">
    <tableColumn id="1" xr3:uid="{00000000-0010-0000-0300-000001000000}" name="Column1" dataDxfId="3"/>
    <tableColumn id="2" xr3:uid="{00000000-0010-0000-0300-000002000000}" name="Parent 1" dataDxfId="2"/>
    <tableColumn id="3" xr3:uid="{00000000-0010-0000-0300-000003000000}" name="Parent 2" dataDxfId="1"/>
    <tableColumn id="4" xr3:uid="{00000000-0010-0000-0300-000004000000}" name="Total" dataDxfId="0">
      <calculatedColumnFormula>B36+C36</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canada.ca/en/revenue-agency/services/child-family-benefits/canada-child-benefit-overview/canada-child-benefit-calculation-sheets.html" TargetMode="External"/><Relationship Id="rId1" Type="http://schemas.openxmlformats.org/officeDocument/2006/relationships/hyperlink" Target="https://www.canada.ca/en/revenue-agency/services/child-family-benefits/canada-child-benefit-overview/canada-child-benefit-ccb-calculation-sheet-july-2019-june-2020-payments-2018-tax-year.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canada.ca/content/dam/cra-arc/formspubs/pbg/5002-c/5002-c-19e.pdf" TargetMode="External"/><Relationship Id="rId7" Type="http://schemas.openxmlformats.org/officeDocument/2006/relationships/printerSettings" Target="../printerSettings/printerSettings2.bin"/><Relationship Id="rId2" Type="http://schemas.openxmlformats.org/officeDocument/2006/relationships/hyperlink" Target="https://www.canada.ca/content/dam/cra-arc/formspubs/pbg/5002-d/5002-d-19e.pdf" TargetMode="External"/><Relationship Id="rId1" Type="http://schemas.openxmlformats.org/officeDocument/2006/relationships/hyperlink" Target="https://www.canada.ca/en/revenue-agency/services/child-family-benefits/canada-workers-benefit/calculation-families-canada.html" TargetMode="External"/><Relationship Id="rId6" Type="http://schemas.openxmlformats.org/officeDocument/2006/relationships/hyperlink" Target="https://www.canada.ca/content/dam/cra-arc/formspubs/pbg/5002-s11/5002-s11-19e.pdf" TargetMode="External"/><Relationship Id="rId5" Type="http://schemas.openxmlformats.org/officeDocument/2006/relationships/hyperlink" Target="https://www.canada.ca/content/dam/cra-arc/formspubs/pub/rc4210/rc4210-20e.pdf" TargetMode="External"/><Relationship Id="rId4" Type="http://schemas.openxmlformats.org/officeDocument/2006/relationships/hyperlink" Target="https://www.canada.ca/en/revenue-agency/services/child-family-benefits/provincial-territorial-programs/province-prince-edward-island.html"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3"/>
  <sheetViews>
    <sheetView topLeftCell="A39" zoomScale="140" zoomScaleNormal="140" zoomScalePageLayoutView="87" workbookViewId="0">
      <selection activeCell="A61" sqref="A61"/>
    </sheetView>
  </sheetViews>
  <sheetFormatPr defaultColWidth="8.85546875" defaultRowHeight="15"/>
  <cols>
    <col min="1" max="1" width="23.85546875" customWidth="1"/>
    <col min="2" max="2" width="13.42578125" customWidth="1"/>
    <col min="3" max="3" width="11.85546875" customWidth="1"/>
    <col min="4" max="4" width="13" customWidth="1"/>
    <col min="5" max="5" width="28.28515625" customWidth="1"/>
    <col min="6" max="6" width="20.42578125" customWidth="1"/>
    <col min="7" max="7" width="20.28515625" customWidth="1"/>
    <col min="8" max="8" width="13.42578125" customWidth="1"/>
    <col min="9" max="9" width="22.140625" bestFit="1" customWidth="1"/>
    <col min="10" max="10" width="13.140625" customWidth="1"/>
    <col min="11" max="11" width="13.28515625" customWidth="1"/>
    <col min="12" max="12" width="19.140625" customWidth="1"/>
    <col min="13" max="13" width="11" customWidth="1"/>
    <col min="14" max="14" width="11.140625" customWidth="1"/>
    <col min="15" max="15" width="14.28515625" customWidth="1"/>
    <col min="16" max="16" width="10.28515625" customWidth="1"/>
    <col min="17" max="17" width="13.140625" customWidth="1"/>
    <col min="18" max="18" width="12" bestFit="1" customWidth="1"/>
    <col min="19" max="19" width="10.28515625" customWidth="1"/>
  </cols>
  <sheetData>
    <row r="1" spans="1:16" ht="21">
      <c r="A1" s="263" t="s">
        <v>0</v>
      </c>
      <c r="B1" s="263"/>
      <c r="C1" s="263"/>
      <c r="D1" s="263"/>
      <c r="E1" s="263"/>
      <c r="F1" s="74"/>
      <c r="G1" s="74"/>
      <c r="H1" s="36"/>
      <c r="I1" s="36"/>
      <c r="J1" s="1"/>
      <c r="K1" s="1"/>
      <c r="L1" s="1"/>
      <c r="M1" s="1"/>
      <c r="N1" s="1"/>
      <c r="O1" s="1"/>
      <c r="P1" s="259"/>
    </row>
    <row r="2" spans="1:16" ht="17.100000000000001">
      <c r="A2" s="267" t="s">
        <v>1</v>
      </c>
      <c r="B2" s="267"/>
      <c r="C2" s="268"/>
      <c r="D2" s="268"/>
      <c r="E2" s="1"/>
      <c r="F2" s="259"/>
      <c r="G2" s="259"/>
      <c r="H2" s="1"/>
      <c r="I2" s="1"/>
      <c r="J2" s="1"/>
      <c r="K2" s="1"/>
      <c r="L2" s="1"/>
      <c r="M2" s="1"/>
      <c r="N2" s="1"/>
      <c r="O2" s="1"/>
      <c r="P2" s="259"/>
    </row>
    <row r="3" spans="1:16" ht="18.95">
      <c r="A3" s="80"/>
      <c r="B3" s="2"/>
      <c r="C3" s="3"/>
      <c r="D3" s="1"/>
      <c r="E3" s="4"/>
      <c r="F3" s="259"/>
      <c r="G3" s="259"/>
      <c r="H3" s="4"/>
      <c r="I3" s="5"/>
      <c r="J3" s="1"/>
      <c r="K3" s="6"/>
      <c r="L3" s="3"/>
      <c r="M3" s="3"/>
      <c r="N3" s="3"/>
      <c r="O3" s="3"/>
      <c r="P3" s="259"/>
    </row>
    <row r="4" spans="1:16" ht="17.100000000000001">
      <c r="A4" s="24" t="s">
        <v>2</v>
      </c>
      <c r="B4" s="24"/>
      <c r="C4" s="24"/>
      <c r="D4" s="24"/>
      <c r="E4" s="4"/>
      <c r="F4" s="259"/>
      <c r="G4" s="259"/>
      <c r="H4" s="4"/>
      <c r="I4" s="259"/>
      <c r="J4" s="259"/>
      <c r="K4" s="259"/>
      <c r="L4" s="259"/>
      <c r="M4" s="259"/>
      <c r="N4" s="259"/>
      <c r="O4" s="3"/>
      <c r="P4" s="259"/>
    </row>
    <row r="5" spans="1:16">
      <c r="A5" s="46" t="s">
        <v>3</v>
      </c>
      <c r="B5" s="47" t="s">
        <v>4</v>
      </c>
      <c r="C5" s="48" t="s">
        <v>5</v>
      </c>
      <c r="D5" s="49" t="s">
        <v>6</v>
      </c>
      <c r="E5" s="7"/>
      <c r="F5" s="259"/>
      <c r="G5" s="259"/>
      <c r="H5" s="259"/>
      <c r="I5" s="259"/>
      <c r="J5" s="259"/>
      <c r="K5" s="259"/>
      <c r="L5" s="259"/>
      <c r="M5" s="259"/>
      <c r="N5" s="259"/>
      <c r="O5" s="259"/>
      <c r="P5" s="259"/>
    </row>
    <row r="6" spans="1:16">
      <c r="A6" s="43" t="s">
        <v>7</v>
      </c>
      <c r="B6" s="67">
        <f>'Family Expenses'!B50</f>
        <v>1076.4809168925024</v>
      </c>
      <c r="C6" s="67">
        <f>Table3[[#This Row],[Monthly]]*12</f>
        <v>12917.771002710029</v>
      </c>
      <c r="D6" s="45">
        <f>C6/C16</f>
        <v>0.19110392699231843</v>
      </c>
      <c r="E6" s="8"/>
      <c r="F6" s="185"/>
      <c r="G6" s="259"/>
      <c r="H6" s="259"/>
      <c r="I6" s="259"/>
      <c r="J6" s="259"/>
      <c r="K6" s="259"/>
      <c r="L6" s="259"/>
      <c r="M6" s="259"/>
      <c r="N6" s="259"/>
      <c r="O6" s="259"/>
      <c r="P6" s="33"/>
    </row>
    <row r="7" spans="1:16">
      <c r="A7" s="44" t="s">
        <v>8</v>
      </c>
      <c r="B7" s="67">
        <f>'Family Expenses'!B17</f>
        <v>185.402452891488</v>
      </c>
      <c r="C7" s="70">
        <f>Table3[[#This Row],[Monthly]]*12</f>
        <v>2224.829434697856</v>
      </c>
      <c r="D7" s="45">
        <f>C7/C16</f>
        <v>3.2913855011802162E-2</v>
      </c>
      <c r="E7" s="8"/>
      <c r="F7" s="259"/>
      <c r="G7" s="259"/>
      <c r="H7" s="181"/>
      <c r="I7" s="181"/>
      <c r="J7" s="259"/>
      <c r="K7" s="259"/>
      <c r="L7" s="259"/>
      <c r="M7" s="259"/>
      <c r="N7" s="259"/>
      <c r="O7" s="259"/>
      <c r="P7" s="33"/>
    </row>
    <row r="8" spans="1:16">
      <c r="A8" s="43" t="s">
        <v>9</v>
      </c>
      <c r="B8" s="67">
        <f>'Family Expenses'!B13</f>
        <v>1398.0646666666667</v>
      </c>
      <c r="C8" s="67">
        <f>B8*12</f>
        <v>16776.775999999998</v>
      </c>
      <c r="D8" s="45">
        <f>C8/C16</f>
        <v>0.24819357574908765</v>
      </c>
      <c r="E8" s="11"/>
      <c r="F8" s="259"/>
      <c r="G8" s="259"/>
      <c r="H8" s="181"/>
      <c r="I8" s="181"/>
      <c r="J8" s="259"/>
      <c r="K8" s="259"/>
      <c r="L8" s="259"/>
      <c r="M8" s="259"/>
      <c r="N8" s="259"/>
      <c r="O8" s="259"/>
      <c r="P8" s="259"/>
    </row>
    <row r="9" spans="1:16">
      <c r="A9" s="43" t="s">
        <v>10</v>
      </c>
      <c r="B9" s="67">
        <f>C9/12</f>
        <v>458.19154842689699</v>
      </c>
      <c r="C9" s="67">
        <f>'Family Expenses'!B29</f>
        <v>5498.2985811227636</v>
      </c>
      <c r="D9" s="45">
        <f>C9/C16</f>
        <v>8.1341157883075624E-2</v>
      </c>
      <c r="E9" s="13"/>
      <c r="F9" s="259"/>
      <c r="G9" s="259"/>
      <c r="H9" s="181"/>
      <c r="I9" s="181"/>
      <c r="J9" s="259"/>
      <c r="K9" s="259"/>
      <c r="L9" s="259"/>
      <c r="M9" s="259"/>
      <c r="N9" s="259"/>
      <c r="O9" s="259"/>
      <c r="P9" s="259"/>
    </row>
    <row r="10" spans="1:16">
      <c r="A10" s="43" t="s">
        <v>11</v>
      </c>
      <c r="B10" s="67">
        <f>C10/12</f>
        <v>1005.4479166666666</v>
      </c>
      <c r="C10" s="67">
        <f>'Family Expenses'!B45</f>
        <v>12065.375</v>
      </c>
      <c r="D10" s="45">
        <f>C10/C16</f>
        <v>0.17849368460326637</v>
      </c>
      <c r="E10" s="14"/>
      <c r="F10" s="259"/>
      <c r="G10" s="259"/>
      <c r="H10" s="181"/>
      <c r="I10" s="181"/>
      <c r="J10" s="259"/>
      <c r="K10" s="259"/>
      <c r="L10" s="259"/>
      <c r="M10" s="259"/>
      <c r="N10" s="259"/>
      <c r="O10" s="259"/>
      <c r="P10" s="259"/>
    </row>
    <row r="11" spans="1:16">
      <c r="A11" s="43" t="s">
        <v>12</v>
      </c>
      <c r="B11" s="67">
        <f>'Family Expenses'!B53</f>
        <v>176.33</v>
      </c>
      <c r="C11" s="67">
        <f>B11*12</f>
        <v>2115.96</v>
      </c>
      <c r="D11" s="45">
        <f>C11/C16</f>
        <v>3.1303253887519242E-2</v>
      </c>
      <c r="E11" s="14"/>
      <c r="F11" s="259"/>
      <c r="G11" s="259"/>
      <c r="H11" s="181"/>
      <c r="I11" s="181"/>
      <c r="J11" s="259"/>
      <c r="K11" s="259"/>
      <c r="L11" s="259"/>
      <c r="M11" s="259"/>
      <c r="N11" s="259"/>
      <c r="O11" s="259"/>
      <c r="P11" s="259"/>
    </row>
    <row r="12" spans="1:16">
      <c r="A12" s="43" t="s">
        <v>13</v>
      </c>
      <c r="B12" s="67">
        <f>C12/12</f>
        <v>225.16666666666666</v>
      </c>
      <c r="C12" s="67">
        <f>(C36*C37)*2+(B36*B37)*2</f>
        <v>2702</v>
      </c>
      <c r="D12" s="45">
        <f>C12/C16</f>
        <v>3.997305809376217E-2</v>
      </c>
      <c r="E12" s="60"/>
      <c r="F12" s="259"/>
      <c r="G12" s="259"/>
      <c r="H12" s="181"/>
      <c r="I12" s="181"/>
      <c r="J12" s="259"/>
      <c r="K12" s="259"/>
      <c r="L12" s="259"/>
      <c r="M12" s="259"/>
      <c r="N12" s="259"/>
      <c r="O12" s="259"/>
      <c r="P12" s="259"/>
    </row>
    <row r="13" spans="1:16">
      <c r="A13" s="43" t="s">
        <v>14</v>
      </c>
      <c r="B13" s="67">
        <f>C13/12</f>
        <v>90.166666666666671</v>
      </c>
      <c r="C13" s="67">
        <f>'Family Expenses'!B36</f>
        <v>1082</v>
      </c>
      <c r="D13" s="45">
        <f>C13/C16</f>
        <v>1.6006975890988404E-2</v>
      </c>
      <c r="E13" s="7"/>
      <c r="F13" s="259"/>
      <c r="G13" s="259"/>
      <c r="H13" s="181"/>
      <c r="I13" s="181"/>
      <c r="J13" s="259"/>
      <c r="K13" s="259"/>
      <c r="L13" s="259"/>
      <c r="M13" s="259"/>
      <c r="N13" s="259"/>
      <c r="O13" s="259"/>
      <c r="P13" s="259"/>
    </row>
    <row r="14" spans="1:16">
      <c r="A14" s="43" t="s">
        <v>15</v>
      </c>
      <c r="B14" s="67">
        <f>'Family Expenses'!B20</f>
        <v>610.62593957258662</v>
      </c>
      <c r="C14" s="67">
        <f>Table3[[#This Row],[Monthly]]*12</f>
        <v>7327.5112748710399</v>
      </c>
      <c r="D14" s="45">
        <f>C14/C16</f>
        <v>0.10840230713290798</v>
      </c>
      <c r="E14" s="8"/>
      <c r="F14" s="259"/>
      <c r="G14" s="259"/>
      <c r="H14" s="181"/>
      <c r="I14" s="181"/>
      <c r="J14" s="259"/>
      <c r="K14" s="259"/>
      <c r="L14" s="259"/>
      <c r="M14" s="259"/>
      <c r="N14" s="259"/>
      <c r="O14" s="259"/>
      <c r="P14" s="259"/>
    </row>
    <row r="15" spans="1:16">
      <c r="A15" s="43" t="s">
        <v>16</v>
      </c>
      <c r="B15" s="67">
        <f>C15/12</f>
        <v>407.08395971505774</v>
      </c>
      <c r="C15" s="68">
        <f>'Family Expenses'!B22</f>
        <v>4885.0075165806929</v>
      </c>
      <c r="D15" s="45">
        <f>C15/C16</f>
        <v>7.2268204755271986E-2</v>
      </c>
      <c r="E15" s="8"/>
      <c r="F15" s="259"/>
      <c r="G15" s="259"/>
      <c r="H15" s="181"/>
      <c r="I15" s="181"/>
      <c r="J15" s="259"/>
      <c r="K15" s="259"/>
      <c r="L15" s="259"/>
      <c r="M15" s="259"/>
      <c r="N15" s="259"/>
      <c r="O15" s="259"/>
      <c r="P15" s="259"/>
    </row>
    <row r="16" spans="1:16">
      <c r="A16" s="50" t="s">
        <v>17</v>
      </c>
      <c r="B16" s="69">
        <f>SUM(B6:B15)</f>
        <v>5632.960734165199</v>
      </c>
      <c r="C16" s="69">
        <f>SUM(C6:C15)</f>
        <v>67595.528809982381</v>
      </c>
      <c r="D16" s="52">
        <f>C16/C16</f>
        <v>1</v>
      </c>
      <c r="E16" s="8"/>
      <c r="F16" s="259"/>
      <c r="G16" s="259"/>
      <c r="H16" s="181"/>
      <c r="I16" s="181"/>
      <c r="J16" s="259"/>
      <c r="K16" s="259"/>
      <c r="L16" s="259"/>
      <c r="M16" s="259"/>
      <c r="N16" s="259"/>
      <c r="O16" s="259"/>
      <c r="P16" s="259"/>
    </row>
    <row r="17" spans="1:13">
      <c r="A17" s="4"/>
      <c r="B17" s="16"/>
      <c r="C17" s="16"/>
      <c r="D17" s="16"/>
      <c r="E17" s="8"/>
      <c r="F17" s="259"/>
      <c r="G17" s="259"/>
      <c r="H17" s="181"/>
      <c r="I17" s="181"/>
      <c r="J17" s="259"/>
      <c r="K17" s="259"/>
      <c r="L17" s="259"/>
      <c r="M17" s="259"/>
    </row>
    <row r="18" spans="1:13" ht="17.100000000000001">
      <c r="A18" s="24" t="s">
        <v>18</v>
      </c>
      <c r="B18" s="24"/>
      <c r="C18" s="24"/>
      <c r="D18" s="24"/>
      <c r="E18" s="259"/>
      <c r="F18" s="259"/>
      <c r="G18" s="259"/>
      <c r="H18" s="259"/>
      <c r="I18" s="259"/>
      <c r="J18" s="259"/>
      <c r="K18" s="259"/>
      <c r="L18" s="259"/>
      <c r="M18" s="259"/>
    </row>
    <row r="19" spans="1:13">
      <c r="A19" s="53" t="s">
        <v>19</v>
      </c>
      <c r="B19" s="47" t="s">
        <v>4</v>
      </c>
      <c r="C19" s="48" t="s">
        <v>5</v>
      </c>
      <c r="D19" s="225" t="s">
        <v>20</v>
      </c>
      <c r="E19" s="259"/>
      <c r="F19" s="15"/>
      <c r="G19" s="259"/>
      <c r="H19" s="259"/>
      <c r="I19" s="259"/>
      <c r="J19" s="259"/>
      <c r="K19" s="259"/>
      <c r="L19" s="259"/>
      <c r="M19" s="259"/>
    </row>
    <row r="20" spans="1:13">
      <c r="A20" s="43"/>
      <c r="B20" s="226"/>
      <c r="C20" s="226"/>
      <c r="D20" s="227"/>
      <c r="E20" s="259"/>
      <c r="F20" s="15"/>
      <c r="G20" s="259"/>
      <c r="H20" s="259"/>
      <c r="I20" s="259"/>
      <c r="J20" s="259"/>
      <c r="K20" s="259"/>
      <c r="L20" s="259"/>
      <c r="M20" s="259"/>
    </row>
    <row r="21" spans="1:13">
      <c r="A21" s="43" t="s">
        <v>21</v>
      </c>
      <c r="B21" s="228">
        <f>'Gov Transfers '!C6</f>
        <v>696.56083333333333</v>
      </c>
      <c r="C21" s="228">
        <f>'Gov Transfers '!D6</f>
        <v>4179.3649999999998</v>
      </c>
      <c r="D21" s="229">
        <f>'Gov Transfers '!I40</f>
        <v>191959.64912280702</v>
      </c>
      <c r="E21" s="259"/>
      <c r="F21" s="15"/>
      <c r="G21" s="259"/>
      <c r="H21" s="259"/>
      <c r="I21" s="259"/>
      <c r="J21" s="259"/>
      <c r="K21" s="259"/>
      <c r="L21" s="259"/>
      <c r="M21" s="259"/>
    </row>
    <row r="22" spans="1:13">
      <c r="A22" s="43" t="s">
        <v>22</v>
      </c>
      <c r="B22" s="228">
        <f>'Gov Transfers '!C7</f>
        <v>726.09833333333336</v>
      </c>
      <c r="C22" s="228">
        <f>'Gov Transfers '!D7</f>
        <v>4356.59</v>
      </c>
      <c r="D22" s="229">
        <f>'Gov Transfers '!I41</f>
        <v>196192.49122807017</v>
      </c>
      <c r="E22" s="259"/>
      <c r="F22" s="15"/>
      <c r="G22" s="259"/>
      <c r="H22" s="259"/>
      <c r="I22" s="259"/>
      <c r="J22" s="259"/>
      <c r="K22" s="259"/>
      <c r="L22" s="259"/>
      <c r="M22" s="259"/>
    </row>
    <row r="23" spans="1:13">
      <c r="A23" s="43" t="s">
        <v>23</v>
      </c>
      <c r="B23" s="228">
        <f>C23/12</f>
        <v>0</v>
      </c>
      <c r="C23" s="230">
        <f>'Gov Transfers '!D8</f>
        <v>0</v>
      </c>
      <c r="D23" s="227"/>
      <c r="E23" s="259"/>
      <c r="F23" s="15"/>
      <c r="G23" s="259"/>
      <c r="H23" s="259"/>
      <c r="I23" s="259"/>
      <c r="J23" s="259"/>
      <c r="K23" s="259"/>
      <c r="L23" s="259"/>
      <c r="M23" s="259"/>
    </row>
    <row r="24" spans="1:13" s="197" customFormat="1">
      <c r="A24" s="43" t="s">
        <v>24</v>
      </c>
      <c r="B24" s="22">
        <f>Table4[[#This Row],[Annually]]/12</f>
        <v>0</v>
      </c>
      <c r="C24" s="67">
        <f>'Gov Transfers '!J49</f>
        <v>0</v>
      </c>
      <c r="D24" s="227">
        <f>'Gov Transfers '!I43</f>
        <v>0</v>
      </c>
      <c r="E24" s="259"/>
      <c r="F24" s="15"/>
      <c r="G24" s="259"/>
      <c r="H24" s="259"/>
      <c r="I24" s="259"/>
      <c r="J24" s="259"/>
      <c r="K24" s="259"/>
      <c r="L24" s="259"/>
      <c r="M24" s="259"/>
    </row>
    <row r="25" spans="1:13" ht="15.95">
      <c r="A25" s="244" t="s">
        <v>25</v>
      </c>
      <c r="B25" s="22">
        <f>Table4[[#This Row],[Annually]]/12</f>
        <v>0</v>
      </c>
      <c r="C25" s="247">
        <f>'Gov Transfers '!D9</f>
        <v>0</v>
      </c>
      <c r="D25" s="227"/>
      <c r="E25" s="259"/>
      <c r="F25" s="1"/>
      <c r="G25" s="259"/>
      <c r="H25" s="259"/>
      <c r="I25" s="259"/>
      <c r="J25" s="259"/>
      <c r="K25" s="259"/>
      <c r="L25" s="259"/>
      <c r="M25" s="259"/>
    </row>
    <row r="26" spans="1:13">
      <c r="A26" s="50" t="s">
        <v>17</v>
      </c>
      <c r="B26" s="51">
        <f>SUM(B20:B25)</f>
        <v>1422.6591666666668</v>
      </c>
      <c r="C26" s="51">
        <f>SUM(C20:C25)</f>
        <v>8535.9549999999999</v>
      </c>
      <c r="D26" s="232"/>
      <c r="E26" s="259"/>
      <c r="F26" s="6"/>
      <c r="G26" s="259"/>
      <c r="H26" s="259"/>
      <c r="I26" s="259"/>
      <c r="J26" s="259"/>
      <c r="K26" s="259"/>
      <c r="L26" s="259"/>
      <c r="M26" s="259"/>
    </row>
    <row r="27" spans="1:13" ht="17.100000000000001">
      <c r="A27" s="4"/>
      <c r="B27" s="16"/>
      <c r="C27" s="16"/>
      <c r="D27" s="24"/>
      <c r="E27" s="259"/>
      <c r="F27" s="1"/>
      <c r="G27" s="259"/>
      <c r="H27" s="259"/>
      <c r="I27" s="259"/>
      <c r="J27" s="259"/>
      <c r="K27" s="259"/>
      <c r="L27" s="259"/>
      <c r="M27" s="259"/>
    </row>
    <row r="28" spans="1:13" ht="17.100000000000001">
      <c r="A28" s="24" t="s">
        <v>26</v>
      </c>
      <c r="B28" s="24"/>
      <c r="C28" s="24"/>
      <c r="D28" s="1"/>
      <c r="E28" s="259"/>
      <c r="F28" s="1"/>
      <c r="G28" s="259"/>
      <c r="H28" s="259"/>
      <c r="I28" s="259"/>
      <c r="J28" s="259"/>
      <c r="K28" s="259"/>
      <c r="L28" s="259"/>
      <c r="M28" s="259"/>
    </row>
    <row r="29" spans="1:13">
      <c r="A29" s="262"/>
      <c r="B29" s="39"/>
      <c r="C29" s="25" t="s">
        <v>5</v>
      </c>
      <c r="D29" s="6"/>
      <c r="E29" s="175"/>
      <c r="F29" s="259"/>
      <c r="G29" s="259"/>
      <c r="H29" s="259"/>
      <c r="I29" s="259"/>
      <c r="J29" s="259"/>
      <c r="K29" s="259"/>
      <c r="L29" s="259"/>
      <c r="M29" s="259"/>
    </row>
    <row r="30" spans="1:13">
      <c r="A30" s="256" t="s">
        <v>27</v>
      </c>
      <c r="B30" s="23"/>
      <c r="C30" s="12">
        <f>C26+D46</f>
        <v>67693.270516799996</v>
      </c>
      <c r="D30" s="1"/>
      <c r="E30" s="5"/>
      <c r="F30" s="259"/>
      <c r="G30" s="259"/>
      <c r="H30" s="259"/>
      <c r="I30" s="259"/>
      <c r="J30" s="259"/>
      <c r="K30" s="259"/>
      <c r="L30" s="259"/>
      <c r="M30" s="259"/>
    </row>
    <row r="31" spans="1:13">
      <c r="A31" s="256" t="s">
        <v>28</v>
      </c>
      <c r="B31" s="23"/>
      <c r="C31" s="12">
        <f>C16</f>
        <v>67595.528809982381</v>
      </c>
      <c r="D31" s="1"/>
      <c r="E31" s="4"/>
      <c r="F31" s="34"/>
      <c r="G31" s="259"/>
      <c r="H31" s="1"/>
      <c r="I31" s="1"/>
      <c r="J31" s="1"/>
      <c r="K31" s="1"/>
      <c r="L31" s="259"/>
      <c r="M31" s="259"/>
    </row>
    <row r="32" spans="1:13">
      <c r="A32" s="195" t="s">
        <v>29</v>
      </c>
      <c r="B32" s="30"/>
      <c r="C32" s="27">
        <f>C30-C31</f>
        <v>97.741706817614613</v>
      </c>
      <c r="D32" s="1"/>
      <c r="E32" s="4"/>
      <c r="F32" s="259"/>
      <c r="G32" s="259"/>
      <c r="H32" s="1"/>
      <c r="I32" s="1"/>
      <c r="J32" s="1"/>
      <c r="K32" s="1"/>
      <c r="L32" s="259"/>
      <c r="M32" s="259"/>
    </row>
    <row r="33" spans="1:15">
      <c r="A33" s="4"/>
      <c r="B33" s="16"/>
      <c r="C33" s="16"/>
      <c r="D33" s="1"/>
      <c r="E33" s="1" t="s">
        <v>30</v>
      </c>
      <c r="F33" s="259"/>
      <c r="G33" s="259"/>
      <c r="H33" s="58"/>
      <c r="I33" s="59"/>
      <c r="J33" s="32"/>
      <c r="K33" s="259"/>
      <c r="L33" s="1"/>
      <c r="M33" s="1"/>
      <c r="N33" s="1"/>
      <c r="O33" s="1"/>
    </row>
    <row r="34" spans="1:15" ht="17.100000000000001">
      <c r="A34" s="24" t="s">
        <v>31</v>
      </c>
      <c r="B34" s="24"/>
      <c r="C34" s="24"/>
      <c r="D34" s="1"/>
      <c r="E34" s="1"/>
      <c r="F34" s="259"/>
      <c r="G34" s="259"/>
      <c r="H34" s="17"/>
      <c r="I34" s="1"/>
      <c r="J34" s="1"/>
      <c r="K34" s="259"/>
      <c r="L34" s="1"/>
      <c r="M34" s="1"/>
      <c r="N34" s="1"/>
      <c r="O34" s="1"/>
    </row>
    <row r="35" spans="1:15">
      <c r="A35" s="57" t="s">
        <v>32</v>
      </c>
      <c r="B35" s="47" t="s">
        <v>33</v>
      </c>
      <c r="C35" s="48" t="s">
        <v>34</v>
      </c>
      <c r="D35" s="49" t="s">
        <v>17</v>
      </c>
      <c r="E35" s="19"/>
      <c r="F35" s="259"/>
      <c r="G35" s="259"/>
      <c r="H35" s="259"/>
      <c r="I35" s="258"/>
      <c r="J35" s="258"/>
      <c r="K35" s="259"/>
      <c r="L35" s="1"/>
      <c r="M35" s="1"/>
      <c r="N35" s="1"/>
      <c r="O35" s="1"/>
    </row>
    <row r="36" spans="1:15">
      <c r="A36" s="54" t="s">
        <v>35</v>
      </c>
      <c r="B36" s="238">
        <v>35</v>
      </c>
      <c r="C36" s="9">
        <v>35</v>
      </c>
      <c r="D36" s="233">
        <f>B36+C36</f>
        <v>70</v>
      </c>
      <c r="E36" s="20"/>
      <c r="F36" s="259"/>
      <c r="G36" s="259"/>
      <c r="H36" s="259"/>
      <c r="I36" s="259"/>
      <c r="J36" s="259"/>
      <c r="K36" s="259"/>
      <c r="L36" s="3"/>
      <c r="M36" s="1"/>
      <c r="N36" s="1"/>
      <c r="O36" s="1"/>
    </row>
    <row r="37" spans="1:15">
      <c r="A37" s="42" t="s">
        <v>36</v>
      </c>
      <c r="B37" s="234">
        <v>19.3</v>
      </c>
      <c r="C37" s="29">
        <f>Table5[[#This Row],[Parent 1]]</f>
        <v>19.3</v>
      </c>
      <c r="D37" s="233"/>
      <c r="E37" s="19"/>
      <c r="F37" s="259"/>
      <c r="G37" s="259"/>
      <c r="H37" s="259"/>
      <c r="I37" s="259"/>
      <c r="J37" s="259"/>
      <c r="K37" s="259"/>
      <c r="L37" s="1"/>
      <c r="M37" s="3"/>
      <c r="N37" s="3"/>
      <c r="O37" s="1"/>
    </row>
    <row r="38" spans="1:15">
      <c r="A38" s="56" t="s">
        <v>37</v>
      </c>
      <c r="B38" s="28">
        <f>(B37*B36)*52</f>
        <v>35126</v>
      </c>
      <c r="C38" s="28">
        <f>B38</f>
        <v>35126</v>
      </c>
      <c r="D38" s="28">
        <f>B38+C38</f>
        <v>70252</v>
      </c>
      <c r="E38" s="4"/>
      <c r="F38" s="259"/>
      <c r="G38" s="259"/>
      <c r="H38" s="259"/>
      <c r="I38" s="259"/>
      <c r="J38" s="259"/>
      <c r="K38" s="259"/>
      <c r="L38" s="1"/>
      <c r="M38" s="1"/>
      <c r="N38" s="1"/>
      <c r="O38" s="1"/>
    </row>
    <row r="39" spans="1:15">
      <c r="A39" s="55" t="s">
        <v>38</v>
      </c>
      <c r="B39" s="22">
        <f>-'Taxes &amp; Credits'!H62</f>
        <v>-13000</v>
      </c>
      <c r="C39" s="21"/>
      <c r="D39" s="21"/>
      <c r="E39" s="4"/>
      <c r="F39" s="259"/>
      <c r="G39" s="259"/>
      <c r="H39" s="18"/>
      <c r="I39" s="259"/>
      <c r="J39" s="259"/>
      <c r="K39" s="259"/>
      <c r="L39" s="1"/>
      <c r="M39" s="1"/>
      <c r="N39" s="1"/>
      <c r="O39" s="1"/>
    </row>
    <row r="40" spans="1:15">
      <c r="A40" s="43" t="s">
        <v>39</v>
      </c>
      <c r="B40" s="22">
        <f>B38+B39</f>
        <v>22126</v>
      </c>
      <c r="C40" s="22">
        <f>C38+C39</f>
        <v>35126</v>
      </c>
      <c r="D40" s="22">
        <f>B40+C40</f>
        <v>57252</v>
      </c>
      <c r="E40" s="20"/>
      <c r="F40" s="16"/>
      <c r="G40" s="2"/>
      <c r="H40" s="16"/>
      <c r="I40" s="259"/>
      <c r="J40" s="259"/>
      <c r="K40" s="259"/>
      <c r="L40" s="1"/>
      <c r="M40" s="1"/>
      <c r="N40" s="1"/>
      <c r="O40" s="1"/>
    </row>
    <row r="41" spans="1:15">
      <c r="A41" s="43" t="s">
        <v>40</v>
      </c>
      <c r="B41" s="228">
        <f>'Taxes &amp; Credits'!C8</f>
        <v>554.99080000000004</v>
      </c>
      <c r="C41" s="228">
        <f>'Taxes &amp; Credits'!D8</f>
        <v>554.99080000000004</v>
      </c>
      <c r="D41" s="22">
        <f t="shared" ref="D41:D47" si="0">B41+C41</f>
        <v>1109.9816000000001</v>
      </c>
      <c r="E41" s="20"/>
      <c r="F41" s="259"/>
      <c r="G41" s="259"/>
      <c r="H41" s="16"/>
      <c r="I41" s="259"/>
      <c r="J41" s="259"/>
      <c r="K41" s="1"/>
      <c r="L41" s="1"/>
      <c r="M41" s="1"/>
      <c r="N41" s="1"/>
      <c r="O41" s="1"/>
    </row>
    <row r="42" spans="1:15">
      <c r="A42" s="43" t="s">
        <v>41</v>
      </c>
      <c r="B42" s="235">
        <f>'Taxes &amp; Credits'!C13</f>
        <v>1660.365</v>
      </c>
      <c r="C42" s="235">
        <f>'Taxes &amp; Credits'!D13</f>
        <v>1660.365</v>
      </c>
      <c r="D42" s="22">
        <f t="shared" si="0"/>
        <v>3320.73</v>
      </c>
      <c r="E42" s="4"/>
      <c r="F42" s="253"/>
      <c r="G42" s="259"/>
      <c r="H42" s="16"/>
      <c r="I42" s="259"/>
      <c r="J42" s="259"/>
      <c r="K42" s="1"/>
      <c r="L42" s="1"/>
      <c r="M42" s="1"/>
      <c r="N42" s="1"/>
      <c r="O42" s="3"/>
    </row>
    <row r="43" spans="1:15">
      <c r="A43" s="43" t="s">
        <v>42</v>
      </c>
      <c r="B43" s="236">
        <f>'Taxes &amp; Credits'!H51</f>
        <v>775.1196300000006</v>
      </c>
      <c r="C43" s="236">
        <f>'Taxes &amp; Credits'!I51</f>
        <v>2818.1466299999997</v>
      </c>
      <c r="D43" s="22">
        <f t="shared" si="0"/>
        <v>3593.2662600000003</v>
      </c>
      <c r="E43" s="4"/>
      <c r="F43" s="259"/>
      <c r="G43" s="259"/>
      <c r="H43" s="16"/>
      <c r="I43" s="259"/>
      <c r="J43" s="259"/>
      <c r="K43" s="1"/>
      <c r="L43" s="1"/>
      <c r="M43" s="1"/>
      <c r="N43" s="1"/>
      <c r="O43" s="1"/>
    </row>
    <row r="44" spans="1:15">
      <c r="A44" s="43" t="s">
        <v>43</v>
      </c>
      <c r="B44" s="236">
        <f>'Taxes &amp; Credits'!H38</f>
        <v>793.64949159999992</v>
      </c>
      <c r="C44" s="236">
        <f>'Taxes &amp; Credits'!I38</f>
        <v>2277.0571316</v>
      </c>
      <c r="D44" s="22">
        <f t="shared" si="0"/>
        <v>3070.7066231999997</v>
      </c>
      <c r="E44" s="2"/>
      <c r="F44" s="259"/>
      <c r="G44" s="259"/>
      <c r="H44" s="16"/>
      <c r="I44" s="259"/>
      <c r="J44" s="259"/>
      <c r="K44" s="1"/>
      <c r="L44" s="1"/>
      <c r="M44" s="1"/>
      <c r="N44" s="1"/>
      <c r="O44" s="1"/>
    </row>
    <row r="45" spans="1:15">
      <c r="A45" s="43" t="s">
        <v>44</v>
      </c>
      <c r="B45" s="231">
        <f>'Taxes &amp; Credits'!C59</f>
        <v>0</v>
      </c>
      <c r="C45" s="231">
        <f>'Taxes &amp; Credits'!C55</f>
        <v>0</v>
      </c>
      <c r="D45" s="22">
        <f t="shared" si="0"/>
        <v>0</v>
      </c>
      <c r="E45" s="1"/>
      <c r="F45" s="259"/>
      <c r="G45" s="259"/>
      <c r="H45" s="259"/>
      <c r="I45" s="259"/>
      <c r="J45" s="259"/>
      <c r="K45" s="1"/>
      <c r="L45" s="1"/>
      <c r="M45" s="1"/>
      <c r="N45" s="1"/>
      <c r="O45" s="1"/>
    </row>
    <row r="46" spans="1:15">
      <c r="A46" s="42" t="s">
        <v>45</v>
      </c>
      <c r="B46" s="27">
        <f>B38-SUM(B41:B45)</f>
        <v>31341.8750784</v>
      </c>
      <c r="C46" s="27">
        <f>C38-SUM(C41:C45)</f>
        <v>27815.440438400001</v>
      </c>
      <c r="D46" s="27">
        <f>B46+C46</f>
        <v>59157.315516800001</v>
      </c>
      <c r="E46" s="1"/>
      <c r="F46" s="33"/>
      <c r="G46" s="259"/>
      <c r="H46" s="4"/>
      <c r="I46" s="259"/>
      <c r="J46" s="1"/>
      <c r="K46" s="1"/>
      <c r="L46" s="259"/>
      <c r="M46" s="259"/>
      <c r="N46" s="259"/>
      <c r="O46" s="1"/>
    </row>
    <row r="47" spans="1:15">
      <c r="A47" s="50" t="s">
        <v>46</v>
      </c>
      <c r="B47" s="27">
        <f>B46/12</f>
        <v>2611.8229231999999</v>
      </c>
      <c r="C47" s="27">
        <f>C46/12</f>
        <v>2317.9533698666669</v>
      </c>
      <c r="D47" s="27">
        <f t="shared" si="0"/>
        <v>4929.7762930666668</v>
      </c>
      <c r="E47" s="1"/>
      <c r="F47" s="1"/>
      <c r="G47" s="1"/>
      <c r="H47" s="4"/>
      <c r="I47" s="1"/>
      <c r="J47" s="1"/>
      <c r="K47" s="1"/>
      <c r="L47" s="259"/>
      <c r="M47" s="259"/>
      <c r="N47" s="259"/>
      <c r="O47" s="1"/>
    </row>
    <row r="48" spans="1:15">
      <c r="A48" s="259"/>
      <c r="B48" s="259"/>
      <c r="C48" s="259"/>
      <c r="D48" s="259"/>
      <c r="E48" s="1"/>
      <c r="F48" s="259"/>
      <c r="G48" s="259"/>
      <c r="H48" s="1"/>
      <c r="I48" s="3"/>
      <c r="J48" s="3"/>
      <c r="K48" s="1"/>
      <c r="L48" s="259"/>
      <c r="M48" s="259"/>
      <c r="N48" s="259"/>
      <c r="O48" s="1"/>
    </row>
    <row r="49" spans="1:15" ht="17.100000000000001">
      <c r="A49" s="257" t="s">
        <v>47</v>
      </c>
      <c r="B49" s="257"/>
      <c r="C49" s="257"/>
      <c r="D49" s="257"/>
      <c r="E49" s="3"/>
      <c r="F49" s="259"/>
      <c r="G49" s="259"/>
      <c r="H49" s="1"/>
      <c r="I49" s="1"/>
      <c r="J49" s="1"/>
      <c r="K49" s="1"/>
      <c r="L49" s="259"/>
      <c r="M49" s="259"/>
      <c r="N49" s="259"/>
      <c r="O49" s="1"/>
    </row>
    <row r="50" spans="1:15">
      <c r="A50" s="264" t="s">
        <v>48</v>
      </c>
      <c r="B50" s="265"/>
      <c r="C50" s="266"/>
      <c r="D50" s="12">
        <f xml:space="preserve"> D38</f>
        <v>70252</v>
      </c>
      <c r="E50" s="259"/>
      <c r="F50" s="259"/>
      <c r="G50" s="259"/>
      <c r="H50" s="1"/>
      <c r="I50" s="1"/>
      <c r="J50" s="1"/>
      <c r="K50" s="1"/>
      <c r="L50" s="259"/>
      <c r="M50" s="259"/>
      <c r="N50" s="259"/>
      <c r="O50" s="1"/>
    </row>
    <row r="51" spans="1:15" ht="17.100000000000001">
      <c r="A51" s="264" t="s">
        <v>49</v>
      </c>
      <c r="B51" s="265"/>
      <c r="C51" s="266"/>
      <c r="D51" s="12">
        <f>SUM(B41:B44)+SUM(C41:C44)</f>
        <v>11094.684483200002</v>
      </c>
      <c r="E51" s="257"/>
      <c r="F51" s="259"/>
      <c r="G51" s="259"/>
      <c r="H51" s="1"/>
      <c r="I51" s="1"/>
      <c r="J51" s="1"/>
      <c r="K51" s="1"/>
      <c r="L51" s="259"/>
      <c r="M51" s="259"/>
      <c r="N51" s="259"/>
      <c r="O51" s="259"/>
    </row>
    <row r="52" spans="1:15">
      <c r="A52" s="264" t="s">
        <v>50</v>
      </c>
      <c r="B52" s="265"/>
      <c r="C52" s="266"/>
      <c r="D52" s="12">
        <f>D50-D51</f>
        <v>59157.315516799994</v>
      </c>
      <c r="E52" s="1"/>
      <c r="F52" s="259"/>
      <c r="G52" s="259"/>
      <c r="H52" s="1"/>
      <c r="I52" s="1"/>
      <c r="J52" s="1"/>
      <c r="K52" s="1"/>
      <c r="L52" s="259"/>
      <c r="M52" s="259"/>
      <c r="N52" s="259"/>
      <c r="O52" s="259"/>
    </row>
    <row r="53" spans="1:15">
      <c r="A53" s="264" t="s">
        <v>51</v>
      </c>
      <c r="B53" s="265"/>
      <c r="C53" s="266"/>
      <c r="D53" s="12">
        <f>C26</f>
        <v>8535.9549999999999</v>
      </c>
      <c r="E53" s="1"/>
      <c r="F53" s="259"/>
      <c r="G53" s="259"/>
      <c r="H53" s="3"/>
      <c r="I53" s="1"/>
      <c r="J53" s="1"/>
      <c r="K53" s="1"/>
      <c r="L53" s="259"/>
      <c r="M53" s="259"/>
      <c r="N53" s="259"/>
      <c r="O53" s="259"/>
    </row>
    <row r="54" spans="1:15">
      <c r="A54" s="264" t="s">
        <v>52</v>
      </c>
      <c r="B54" s="265"/>
      <c r="C54" s="266"/>
      <c r="D54" s="12">
        <f>D52+D53</f>
        <v>67693.270516799996</v>
      </c>
      <c r="E54" s="1"/>
      <c r="F54" s="33"/>
      <c r="G54" s="33"/>
      <c r="H54" s="1"/>
      <c r="I54" s="1"/>
      <c r="J54" s="1"/>
      <c r="K54" s="3"/>
      <c r="L54" s="259"/>
      <c r="M54" s="259"/>
      <c r="N54" s="259"/>
      <c r="O54" s="259"/>
    </row>
    <row r="55" spans="1:15">
      <c r="A55" s="264" t="s">
        <v>53</v>
      </c>
      <c r="B55" s="265"/>
      <c r="C55" s="266"/>
      <c r="D55" s="12">
        <f>C16</f>
        <v>67595.528809982381</v>
      </c>
      <c r="E55" s="1"/>
      <c r="F55" s="259"/>
      <c r="G55" s="1"/>
      <c r="H55" s="1"/>
      <c r="I55" s="1"/>
      <c r="J55" s="1"/>
      <c r="K55" s="1"/>
      <c r="L55" s="259"/>
      <c r="M55" s="259"/>
      <c r="N55" s="259"/>
      <c r="O55" s="259"/>
    </row>
    <row r="56" spans="1:15">
      <c r="A56" s="264" t="s">
        <v>54</v>
      </c>
      <c r="B56" s="265"/>
      <c r="C56" s="266"/>
      <c r="D56" s="12">
        <f>D54-D55</f>
        <v>97.741706817614613</v>
      </c>
      <c r="E56" s="1"/>
      <c r="F56" s="259"/>
      <c r="G56" s="259"/>
      <c r="H56" s="1"/>
      <c r="I56" s="1"/>
      <c r="J56" s="1"/>
      <c r="K56" s="1"/>
      <c r="L56" s="259"/>
      <c r="M56" s="259"/>
      <c r="N56" s="259"/>
      <c r="O56" s="259"/>
    </row>
    <row r="57" spans="1:15">
      <c r="A57" s="259"/>
      <c r="B57" s="259"/>
      <c r="C57" s="259"/>
      <c r="D57" s="259"/>
      <c r="E57" s="1"/>
      <c r="F57" s="259"/>
      <c r="G57" s="259"/>
      <c r="H57" s="1"/>
      <c r="I57" s="1"/>
      <c r="J57" s="1"/>
      <c r="K57" s="1"/>
      <c r="L57" s="259"/>
      <c r="M57" s="259"/>
      <c r="N57" s="259"/>
      <c r="O57" s="259"/>
    </row>
    <row r="58" spans="1:15">
      <c r="A58" s="259"/>
      <c r="B58" s="259"/>
      <c r="C58" s="259"/>
      <c r="D58" s="259"/>
      <c r="E58" s="3"/>
      <c r="F58" s="259"/>
      <c r="G58" s="259"/>
      <c r="H58" s="1"/>
      <c r="I58" s="1"/>
      <c r="J58" s="1"/>
      <c r="K58" s="1"/>
      <c r="L58" s="259"/>
      <c r="M58" s="259"/>
      <c r="N58" s="259"/>
      <c r="O58" s="259"/>
    </row>
    <row r="59" spans="1:15">
      <c r="A59" s="259"/>
      <c r="B59" s="259"/>
      <c r="C59" s="259"/>
      <c r="D59" s="259"/>
      <c r="E59" s="1"/>
      <c r="F59" s="259"/>
      <c r="G59" s="259"/>
      <c r="H59" s="1"/>
      <c r="I59" s="259"/>
      <c r="J59" s="259"/>
      <c r="K59" s="1"/>
      <c r="L59" s="259"/>
      <c r="M59" s="259"/>
      <c r="N59" s="259"/>
      <c r="O59" s="259"/>
    </row>
    <row r="60" spans="1:15">
      <c r="A60" s="259"/>
      <c r="B60" s="259"/>
      <c r="C60" s="259"/>
      <c r="D60" s="259"/>
      <c r="E60" s="259"/>
      <c r="F60" s="259"/>
      <c r="G60" s="259"/>
      <c r="H60" s="1"/>
      <c r="I60" s="259"/>
      <c r="J60" s="259"/>
      <c r="K60" s="1"/>
      <c r="L60" s="259"/>
      <c r="M60" s="259"/>
      <c r="N60" s="259"/>
      <c r="O60" s="259"/>
    </row>
    <row r="61" spans="1:15">
      <c r="A61" s="259"/>
      <c r="B61" s="259"/>
      <c r="C61" s="259"/>
      <c r="D61" s="259"/>
      <c r="E61" s="259"/>
      <c r="F61" s="259"/>
      <c r="G61" s="259"/>
      <c r="H61" s="1"/>
      <c r="I61" s="259"/>
      <c r="J61" s="259"/>
      <c r="K61" s="1"/>
      <c r="L61" s="259"/>
      <c r="M61" s="259"/>
      <c r="N61" s="259"/>
      <c r="O61" s="259"/>
    </row>
    <row r="62" spans="1:15">
      <c r="A62" s="259"/>
      <c r="B62" s="259"/>
      <c r="C62" s="259"/>
      <c r="D62" s="259"/>
      <c r="E62" s="259"/>
      <c r="F62" s="259"/>
      <c r="G62" s="259"/>
      <c r="H62" s="1"/>
      <c r="I62" s="259"/>
      <c r="J62" s="259"/>
      <c r="K62" s="1"/>
      <c r="L62" s="259"/>
      <c r="M62" s="259"/>
      <c r="N62" s="259"/>
      <c r="O62" s="259"/>
    </row>
    <row r="63" spans="1:15">
      <c r="A63" s="259"/>
      <c r="B63" s="259"/>
      <c r="C63" s="259"/>
      <c r="D63" s="259"/>
      <c r="E63" s="259"/>
      <c r="F63" s="259"/>
      <c r="G63" s="259"/>
      <c r="H63" s="259"/>
      <c r="I63" s="259"/>
      <c r="J63" s="259"/>
      <c r="K63" s="1"/>
      <c r="L63" s="259"/>
      <c r="M63" s="259"/>
      <c r="N63" s="259"/>
      <c r="O63" s="259"/>
    </row>
  </sheetData>
  <mergeCells count="9">
    <mergeCell ref="A1:E1"/>
    <mergeCell ref="A56:C56"/>
    <mergeCell ref="A50:C50"/>
    <mergeCell ref="A51:C51"/>
    <mergeCell ref="A52:C52"/>
    <mergeCell ref="A53:C53"/>
    <mergeCell ref="A54:C54"/>
    <mergeCell ref="A55:C55"/>
    <mergeCell ref="A2:D2"/>
  </mergeCells>
  <phoneticPr fontId="7" type="noConversion"/>
  <pageMargins left="0.7" right="0.7" top="0.75" bottom="0.75" header="0.3" footer="0.3"/>
  <pageSetup orientation="portrait" r:id="rId1"/>
  <ignoredErrors>
    <ignoredError sqref="C10 B11 B14" formula="1"/>
  </ignoredErrors>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4"/>
  <sheetViews>
    <sheetView topLeftCell="A41" zoomScale="134" zoomScaleNormal="134" workbookViewId="0">
      <selection activeCell="D20" sqref="D20"/>
    </sheetView>
  </sheetViews>
  <sheetFormatPr defaultColWidth="8.85546875" defaultRowHeight="15"/>
  <cols>
    <col min="1" max="1" width="3.140625" style="37" customWidth="1"/>
    <col min="2" max="2" width="26" style="37" customWidth="1"/>
    <col min="3" max="6" width="8.85546875" style="37"/>
    <col min="7" max="7" width="13.140625" style="37" customWidth="1"/>
    <col min="8" max="8" width="37.85546875" style="37" customWidth="1"/>
    <col min="9" max="9" width="12.28515625" style="37" customWidth="1"/>
    <col min="10" max="10" width="11.42578125" style="37" customWidth="1"/>
    <col min="11" max="11" width="13.7109375" style="37" customWidth="1"/>
    <col min="12" max="12" width="11.7109375" style="37" customWidth="1"/>
    <col min="13" max="16384" width="8.85546875" style="37"/>
  </cols>
  <sheetData>
    <row r="1" spans="2:14" ht="15.95">
      <c r="B1" s="198" t="s">
        <v>55</v>
      </c>
      <c r="C1" s="259"/>
      <c r="D1" s="259"/>
      <c r="E1" s="259"/>
      <c r="F1" s="259"/>
      <c r="G1" s="259"/>
      <c r="H1" s="259"/>
      <c r="I1" s="259"/>
      <c r="J1" s="259"/>
      <c r="K1" s="259"/>
      <c r="L1" s="259"/>
      <c r="M1" s="259"/>
      <c r="N1" s="259"/>
    </row>
    <row r="4" spans="2:14" ht="18" thickBot="1">
      <c r="B4" s="86" t="s">
        <v>18</v>
      </c>
      <c r="C4" s="259"/>
      <c r="D4" s="259"/>
      <c r="E4" s="259"/>
      <c r="F4" s="259"/>
      <c r="G4" s="259"/>
      <c r="H4" s="87" t="s">
        <v>56</v>
      </c>
      <c r="I4" s="259"/>
      <c r="J4" s="259"/>
      <c r="K4" s="259"/>
      <c r="L4" s="259"/>
      <c r="M4" s="259"/>
      <c r="N4" s="259"/>
    </row>
    <row r="5" spans="2:14" ht="15.95" thickBot="1">
      <c r="B5" s="88" t="s">
        <v>19</v>
      </c>
      <c r="C5" s="89" t="s">
        <v>57</v>
      </c>
      <c r="D5" s="89" t="s">
        <v>58</v>
      </c>
      <c r="E5" s="90" t="s">
        <v>59</v>
      </c>
      <c r="F5" s="259"/>
      <c r="G5" s="259"/>
      <c r="H5" s="91" t="s">
        <v>60</v>
      </c>
      <c r="I5" s="92" t="s">
        <v>33</v>
      </c>
      <c r="J5" s="92" t="s">
        <v>34</v>
      </c>
      <c r="K5" s="93" t="s">
        <v>17</v>
      </c>
      <c r="L5" s="259"/>
      <c r="M5" s="259"/>
      <c r="N5" s="259"/>
    </row>
    <row r="6" spans="2:14" ht="17.100000000000001" thickTop="1" thickBot="1">
      <c r="B6" s="94" t="s">
        <v>61</v>
      </c>
      <c r="C6" s="98">
        <f>D6/6</f>
        <v>696.56083333333333</v>
      </c>
      <c r="D6" s="99">
        <f>I38</f>
        <v>4179.3649999999998</v>
      </c>
      <c r="E6" s="95"/>
      <c r="F6" s="259"/>
      <c r="G6" s="259"/>
      <c r="H6" s="85" t="s">
        <v>62</v>
      </c>
      <c r="I6" s="133">
        <f>'LW 2020 Income'!B38</f>
        <v>35126</v>
      </c>
      <c r="J6" s="133">
        <f>'LW 2020 Income'!C38</f>
        <v>35126</v>
      </c>
      <c r="K6" s="133">
        <f>SUM(I6:J6)</f>
        <v>70252</v>
      </c>
      <c r="L6" s="259"/>
      <c r="M6" s="259"/>
      <c r="N6" s="259"/>
    </row>
    <row r="7" spans="2:14" ht="17.100000000000001" thickTop="1" thickBot="1">
      <c r="B7" s="94" t="s">
        <v>63</v>
      </c>
      <c r="C7" s="98">
        <f>D7/6</f>
        <v>726.09833333333336</v>
      </c>
      <c r="D7" s="99">
        <f>I39</f>
        <v>4356.59</v>
      </c>
      <c r="E7" s="95"/>
      <c r="F7" s="259"/>
      <c r="G7" s="259"/>
      <c r="H7" s="84" t="s">
        <v>64</v>
      </c>
      <c r="I7" s="133">
        <f>'LW 2020 Income'!C10</f>
        <v>12065.375</v>
      </c>
      <c r="J7" s="133">
        <f>'LW 2020 Income'!C39</f>
        <v>0</v>
      </c>
      <c r="K7" s="133">
        <f t="shared" ref="K7:K15" si="0">SUM(I7:J7)</f>
        <v>12065.375</v>
      </c>
      <c r="L7" s="259"/>
      <c r="M7" s="259"/>
      <c r="N7" s="259"/>
    </row>
    <row r="8" spans="2:14" ht="17.100000000000001" thickTop="1" thickBot="1">
      <c r="B8" s="94" t="s">
        <v>65</v>
      </c>
      <c r="C8" s="100">
        <f>D8/12</f>
        <v>0</v>
      </c>
      <c r="D8" s="101">
        <f>I49</f>
        <v>0</v>
      </c>
      <c r="E8" s="95"/>
      <c r="F8" s="259"/>
      <c r="G8" s="259"/>
      <c r="H8" s="41" t="s">
        <v>38</v>
      </c>
      <c r="I8" s="133">
        <f>'LW 2020 Income'!B39</f>
        <v>-13000</v>
      </c>
      <c r="J8" s="133">
        <f>J7</f>
        <v>0</v>
      </c>
      <c r="K8" s="133">
        <f t="shared" si="0"/>
        <v>-13000</v>
      </c>
      <c r="L8" s="259"/>
      <c r="M8" s="199"/>
      <c r="N8" s="259"/>
    </row>
    <row r="9" spans="2:14" ht="18" thickTop="1" thickBot="1">
      <c r="B9" s="244" t="s">
        <v>25</v>
      </c>
      <c r="C9" s="176"/>
      <c r="D9" s="176">
        <f>'Taxes &amp; Credits'!L9</f>
        <v>0</v>
      </c>
      <c r="E9" s="95"/>
      <c r="F9" s="259"/>
      <c r="G9" s="259"/>
      <c r="H9" s="84" t="s">
        <v>66</v>
      </c>
      <c r="I9" s="133">
        <f>'LW 2020 Income'!B40</f>
        <v>22126</v>
      </c>
      <c r="J9" s="133">
        <f>'LW 2020 Income'!C40</f>
        <v>35126</v>
      </c>
      <c r="K9" s="133">
        <f t="shared" si="0"/>
        <v>57252</v>
      </c>
      <c r="L9" s="259"/>
      <c r="M9" s="259"/>
      <c r="N9" s="259"/>
    </row>
    <row r="10" spans="2:14" ht="17.100000000000001" thickTop="1" thickBot="1">
      <c r="B10" s="94"/>
      <c r="C10" s="176"/>
      <c r="D10" s="176"/>
      <c r="E10" s="95"/>
      <c r="F10" s="259"/>
      <c r="G10" s="259"/>
      <c r="H10" s="41" t="s">
        <v>40</v>
      </c>
      <c r="I10" s="133">
        <f>'LW 2020 Income'!B41</f>
        <v>554.99080000000004</v>
      </c>
      <c r="J10" s="133">
        <f>'LW 2020 Income'!C41</f>
        <v>554.99080000000004</v>
      </c>
      <c r="K10" s="133">
        <f t="shared" si="0"/>
        <v>1109.9816000000001</v>
      </c>
      <c r="L10" s="259"/>
      <c r="M10" s="259"/>
      <c r="N10" s="259"/>
    </row>
    <row r="11" spans="2:14" ht="17.100000000000001" thickTop="1" thickBot="1">
      <c r="B11" s="94"/>
      <c r="C11" s="102"/>
      <c r="D11" s="103"/>
      <c r="E11" s="95"/>
      <c r="F11" s="259"/>
      <c r="G11" s="259"/>
      <c r="H11" s="84" t="s">
        <v>41</v>
      </c>
      <c r="I11" s="133">
        <f>'LW 2020 Income'!B42</f>
        <v>1660.365</v>
      </c>
      <c r="J11" s="133">
        <f>'LW 2020 Income'!C42</f>
        <v>1660.365</v>
      </c>
      <c r="K11" s="133">
        <f t="shared" si="0"/>
        <v>3320.73</v>
      </c>
      <c r="L11" s="259"/>
      <c r="M11" s="259"/>
      <c r="N11" s="259"/>
    </row>
    <row r="12" spans="2:14" ht="17.100000000000001" thickTop="1" thickBot="1">
      <c r="B12" s="94"/>
      <c r="C12" s="104"/>
      <c r="D12" s="104"/>
      <c r="E12" s="107"/>
      <c r="F12" s="259"/>
      <c r="G12" s="259"/>
      <c r="H12" s="41" t="s">
        <v>42</v>
      </c>
      <c r="I12" s="133">
        <f>'LW 2020 Income'!B43</f>
        <v>775.1196300000006</v>
      </c>
      <c r="J12" s="133">
        <f>'LW 2020 Income'!C43</f>
        <v>2818.1466299999997</v>
      </c>
      <c r="K12" s="133">
        <f t="shared" si="0"/>
        <v>3593.2662600000003</v>
      </c>
      <c r="L12" s="259"/>
      <c r="M12" s="259"/>
      <c r="N12" s="259"/>
    </row>
    <row r="13" spans="2:14" ht="15.95" thickBot="1">
      <c r="B13" s="105"/>
      <c r="C13" s="106"/>
      <c r="D13" s="106"/>
      <c r="E13" s="259"/>
      <c r="F13" s="259"/>
      <c r="G13" s="259"/>
      <c r="H13" s="84" t="s">
        <v>43</v>
      </c>
      <c r="I13" s="133">
        <f>'LW 2020 Income'!B44</f>
        <v>793.64949159999992</v>
      </c>
      <c r="J13" s="133">
        <f>'LW 2020 Income'!C44</f>
        <v>2277.0571316</v>
      </c>
      <c r="K13" s="133">
        <f t="shared" si="0"/>
        <v>3070.7066231999997</v>
      </c>
      <c r="L13" s="259"/>
      <c r="M13" s="259"/>
      <c r="N13" s="259"/>
    </row>
    <row r="14" spans="2:14" ht="15.95" thickBot="1">
      <c r="B14" s="259"/>
      <c r="C14" s="259"/>
      <c r="D14" s="259"/>
      <c r="E14" s="259"/>
      <c r="F14" s="259"/>
      <c r="G14" s="259"/>
      <c r="H14" s="41" t="s">
        <v>44</v>
      </c>
      <c r="I14" s="133">
        <f>'LW 2020 Income'!B45</f>
        <v>0</v>
      </c>
      <c r="J14" s="133">
        <f>'LW 2020 Income'!C45</f>
        <v>0</v>
      </c>
      <c r="K14" s="133">
        <f t="shared" si="0"/>
        <v>0</v>
      </c>
      <c r="L14" s="259"/>
      <c r="M14" s="259"/>
      <c r="N14" s="259"/>
    </row>
    <row r="15" spans="2:14" ht="21" thickTop="1" thickBot="1">
      <c r="B15" s="270" t="s">
        <v>67</v>
      </c>
      <c r="C15" s="271"/>
      <c r="D15" s="259"/>
      <c r="E15" s="259"/>
      <c r="F15" s="259"/>
      <c r="G15" s="259"/>
      <c r="H15" s="84" t="s">
        <v>45</v>
      </c>
      <c r="I15" s="133">
        <f>'LW 2020 Income'!B46</f>
        <v>31341.8750784</v>
      </c>
      <c r="J15" s="133">
        <f>'LW 2020 Income'!C46</f>
        <v>27815.440438400001</v>
      </c>
      <c r="K15" s="133">
        <f t="shared" si="0"/>
        <v>59157.315516800001</v>
      </c>
      <c r="L15" s="259"/>
      <c r="M15" s="258"/>
      <c r="N15" s="258"/>
    </row>
    <row r="16" spans="2:14" ht="17.100000000000001" thickTop="1" thickBot="1">
      <c r="B16" s="94" t="s">
        <v>68</v>
      </c>
      <c r="C16" s="97">
        <f>COUNTIF(C17:C18,"&lt;18")</f>
        <v>2</v>
      </c>
      <c r="D16" s="259"/>
      <c r="E16" s="259"/>
      <c r="F16" s="259"/>
      <c r="G16" s="259"/>
      <c r="H16" s="259"/>
      <c r="I16" s="259"/>
      <c r="J16" s="259"/>
      <c r="K16" s="259"/>
      <c r="L16" s="259"/>
      <c r="M16" s="259"/>
      <c r="N16" s="259"/>
    </row>
    <row r="17" spans="2:14">
      <c r="B17" s="94" t="s">
        <v>69</v>
      </c>
      <c r="C17" s="109">
        <v>2</v>
      </c>
      <c r="D17" s="259"/>
      <c r="E17" s="259"/>
      <c r="F17" s="259"/>
      <c r="G17" s="259"/>
      <c r="H17" s="131" t="s">
        <v>70</v>
      </c>
      <c r="I17" s="132"/>
      <c r="J17" s="259"/>
      <c r="K17" s="259"/>
      <c r="L17" s="259"/>
      <c r="M17" s="259"/>
      <c r="N17" s="259"/>
    </row>
    <row r="18" spans="2:14">
      <c r="B18" s="94" t="s">
        <v>71</v>
      </c>
      <c r="C18" s="109">
        <v>7</v>
      </c>
      <c r="D18" s="259"/>
      <c r="E18" s="259"/>
      <c r="F18" s="259"/>
      <c r="G18" s="259"/>
      <c r="H18" s="118" t="s">
        <v>72</v>
      </c>
      <c r="I18" s="95"/>
      <c r="J18" s="190" t="s">
        <v>73</v>
      </c>
      <c r="K18" s="259"/>
      <c r="L18" s="259"/>
      <c r="M18" s="259"/>
      <c r="N18" s="259"/>
    </row>
    <row r="19" spans="2:14">
      <c r="B19" s="94"/>
      <c r="C19" s="95"/>
      <c r="D19" s="259"/>
      <c r="E19" s="259"/>
      <c r="F19" s="259"/>
      <c r="G19" s="259"/>
      <c r="H19" s="119" t="s">
        <v>74</v>
      </c>
      <c r="I19" s="200">
        <v>30450</v>
      </c>
      <c r="J19" s="259"/>
      <c r="K19" s="259"/>
      <c r="L19" s="259"/>
      <c r="M19" s="259"/>
      <c r="N19" s="259"/>
    </row>
    <row r="20" spans="2:14">
      <c r="B20" s="113" t="s">
        <v>75</v>
      </c>
      <c r="C20" s="114">
        <v>0</v>
      </c>
      <c r="D20" s="38"/>
      <c r="E20" s="259"/>
      <c r="F20" s="259"/>
      <c r="G20" s="259"/>
      <c r="H20" s="119" t="s">
        <v>76</v>
      </c>
      <c r="I20" s="200">
        <v>65975</v>
      </c>
      <c r="J20" s="259"/>
      <c r="K20" s="259"/>
      <c r="L20" s="259"/>
      <c r="M20" s="259"/>
      <c r="N20" s="259"/>
    </row>
    <row r="21" spans="2:14">
      <c r="B21" s="113" t="s">
        <v>75</v>
      </c>
      <c r="C21" s="115">
        <f>C20*0</f>
        <v>0</v>
      </c>
      <c r="D21" s="38" t="s">
        <v>77</v>
      </c>
      <c r="E21" s="259"/>
      <c r="F21" s="259"/>
      <c r="G21" s="259"/>
      <c r="H21" s="120" t="s">
        <v>78</v>
      </c>
      <c r="I21" s="200">
        <v>6496</v>
      </c>
      <c r="J21" s="259"/>
      <c r="K21" s="259"/>
      <c r="L21" s="259"/>
      <c r="M21" s="259"/>
      <c r="N21" s="259"/>
    </row>
    <row r="22" spans="2:14" ht="15.95" thickBot="1">
      <c r="B22" s="116" t="s">
        <v>75</v>
      </c>
      <c r="C22" s="117">
        <f>C21</f>
        <v>0</v>
      </c>
      <c r="D22" s="38" t="s">
        <v>79</v>
      </c>
      <c r="E22" s="259"/>
      <c r="F22" s="259"/>
      <c r="G22" s="259"/>
      <c r="H22" s="120" t="s">
        <v>80</v>
      </c>
      <c r="I22" s="200">
        <v>5481</v>
      </c>
      <c r="J22" s="259"/>
      <c r="K22" s="259"/>
      <c r="L22" s="259"/>
      <c r="M22" s="258"/>
      <c r="N22" s="258"/>
    </row>
    <row r="23" spans="2:14">
      <c r="B23" s="259"/>
      <c r="C23" s="259"/>
      <c r="D23" s="259"/>
      <c r="E23" s="259"/>
      <c r="F23" s="259"/>
      <c r="G23" s="259"/>
      <c r="H23" s="118" t="s">
        <v>81</v>
      </c>
      <c r="I23" s="95"/>
      <c r="J23" s="259"/>
      <c r="K23" s="199"/>
      <c r="L23" s="259"/>
      <c r="M23" s="259"/>
      <c r="N23" s="259"/>
    </row>
    <row r="24" spans="2:14">
      <c r="B24" s="259"/>
      <c r="C24" s="259"/>
      <c r="D24" s="259"/>
      <c r="E24" s="259"/>
      <c r="F24" s="259"/>
      <c r="G24" s="259"/>
      <c r="H24" s="119" t="s">
        <v>74</v>
      </c>
      <c r="I24" s="200">
        <v>31120</v>
      </c>
      <c r="J24" s="259"/>
      <c r="K24" s="259"/>
      <c r="L24" s="259"/>
      <c r="M24" s="259"/>
      <c r="N24" s="259"/>
    </row>
    <row r="25" spans="2:14">
      <c r="B25" s="259"/>
      <c r="C25" s="259"/>
      <c r="D25" s="259"/>
      <c r="E25" s="259"/>
      <c r="F25" s="259"/>
      <c r="G25" s="259"/>
      <c r="H25" s="119" t="s">
        <v>76</v>
      </c>
      <c r="I25" s="200">
        <v>67426</v>
      </c>
      <c r="J25" s="259"/>
      <c r="K25" s="259"/>
      <c r="L25" s="259"/>
      <c r="M25" s="259"/>
      <c r="N25" s="259"/>
    </row>
    <row r="26" spans="2:14">
      <c r="B26" s="259"/>
      <c r="C26" s="259"/>
      <c r="D26" s="259"/>
      <c r="E26" s="259"/>
      <c r="F26" s="259"/>
      <c r="G26" s="259"/>
      <c r="H26" s="120" t="s">
        <v>78</v>
      </c>
      <c r="I26" s="200">
        <v>6639</v>
      </c>
      <c r="J26" s="259"/>
      <c r="K26" s="259"/>
      <c r="L26" s="259"/>
      <c r="M26" s="259"/>
      <c r="N26" s="259"/>
    </row>
    <row r="27" spans="2:14">
      <c r="B27" s="259"/>
      <c r="C27" s="259"/>
      <c r="D27" s="259"/>
      <c r="E27" s="259"/>
      <c r="F27" s="259"/>
      <c r="G27" s="259"/>
      <c r="H27" s="120" t="s">
        <v>80</v>
      </c>
      <c r="I27" s="200">
        <v>5602</v>
      </c>
      <c r="J27" s="259"/>
      <c r="K27" s="259"/>
      <c r="L27" s="259"/>
      <c r="M27" s="259"/>
      <c r="N27" s="259"/>
    </row>
    <row r="28" spans="2:14" ht="15.95">
      <c r="B28" s="259"/>
      <c r="C28" s="259"/>
      <c r="D28" s="259"/>
      <c r="E28" s="259"/>
      <c r="F28" s="259"/>
      <c r="G28" s="259"/>
      <c r="H28" s="121" t="s">
        <v>82</v>
      </c>
      <c r="I28" s="95"/>
      <c r="J28" s="259"/>
      <c r="K28" s="259"/>
      <c r="L28" s="259"/>
      <c r="M28" s="259"/>
      <c r="N28" s="259"/>
    </row>
    <row r="29" spans="2:14">
      <c r="B29" s="259"/>
      <c r="C29" s="259"/>
      <c r="D29" s="259"/>
      <c r="E29" s="259"/>
      <c r="F29" s="259"/>
      <c r="G29" s="259"/>
      <c r="H29" s="120" t="s">
        <v>83</v>
      </c>
      <c r="I29" s="110">
        <v>7.0000000000000007E-2</v>
      </c>
      <c r="J29" s="259"/>
      <c r="K29" s="259"/>
      <c r="L29" s="259"/>
      <c r="M29" s="259"/>
      <c r="N29" s="259"/>
    </row>
    <row r="30" spans="2:14">
      <c r="B30" s="259"/>
      <c r="C30" s="259"/>
      <c r="D30" s="259"/>
      <c r="E30" s="259"/>
      <c r="F30" s="259"/>
      <c r="G30" s="259"/>
      <c r="H30" s="120" t="s">
        <v>84</v>
      </c>
      <c r="I30" s="157">
        <v>0.13500000000000001</v>
      </c>
      <c r="J30" s="259"/>
      <c r="K30" s="259"/>
      <c r="L30" s="259"/>
      <c r="M30" s="259"/>
      <c r="N30" s="259"/>
    </row>
    <row r="31" spans="2:14">
      <c r="B31" s="259"/>
      <c r="C31" s="259"/>
      <c r="D31" s="259"/>
      <c r="E31" s="259"/>
      <c r="F31" s="259"/>
      <c r="G31" s="259"/>
      <c r="H31" s="120" t="s">
        <v>85</v>
      </c>
      <c r="I31" s="110">
        <v>0.19</v>
      </c>
      <c r="J31" s="259"/>
      <c r="K31" s="259"/>
      <c r="L31" s="259"/>
      <c r="M31" s="259"/>
      <c r="N31" s="259"/>
    </row>
    <row r="32" spans="2:14">
      <c r="B32" s="259"/>
      <c r="C32" s="259"/>
      <c r="D32" s="259"/>
      <c r="E32" s="259"/>
      <c r="F32" s="259"/>
      <c r="G32" s="259"/>
      <c r="H32" s="120" t="s">
        <v>86</v>
      </c>
      <c r="I32" s="110">
        <v>0.23</v>
      </c>
      <c r="J32" s="259"/>
      <c r="K32" s="259"/>
      <c r="L32" s="259"/>
      <c r="M32" s="259"/>
      <c r="N32" s="259"/>
    </row>
    <row r="33" spans="8:11" ht="15.95">
      <c r="H33" s="121" t="s">
        <v>87</v>
      </c>
      <c r="I33" s="122"/>
      <c r="J33" s="259"/>
      <c r="K33" s="259"/>
    </row>
    <row r="34" spans="8:11">
      <c r="H34" s="120" t="s">
        <v>83</v>
      </c>
      <c r="I34" s="110">
        <v>3.2000000000000001E-2</v>
      </c>
      <c r="J34" s="259"/>
      <c r="K34" s="259"/>
    </row>
    <row r="35" spans="8:11">
      <c r="H35" s="120" t="s">
        <v>84</v>
      </c>
      <c r="I35" s="157">
        <v>5.7000000000000002E-2</v>
      </c>
      <c r="J35" s="259"/>
      <c r="K35" s="259"/>
    </row>
    <row r="36" spans="8:11">
      <c r="H36" s="120" t="s">
        <v>85</v>
      </c>
      <c r="I36" s="110">
        <v>0.08</v>
      </c>
      <c r="J36" s="259"/>
      <c r="K36" s="259"/>
    </row>
    <row r="37" spans="8:11">
      <c r="H37" s="120" t="s">
        <v>86</v>
      </c>
      <c r="I37" s="123">
        <v>9.5000000000000001E-2</v>
      </c>
      <c r="J37" s="259"/>
      <c r="K37" s="259"/>
    </row>
    <row r="38" spans="8:11" ht="15.95">
      <c r="H38" s="124" t="s">
        <v>88</v>
      </c>
      <c r="I38" s="125">
        <f>0.5*IF(K9&lt;I19,(I21+I22),IF(K9&lt;I20,(I21+I22-(K9-I19)*I30),(I21+I22-(I20-I19)*I30-(K9-I20)*I35)))</f>
        <v>4179.3649999999998</v>
      </c>
      <c r="J38" s="259"/>
      <c r="K38" s="259"/>
    </row>
    <row r="39" spans="8:11" ht="15.95">
      <c r="H39" s="126" t="s">
        <v>89</v>
      </c>
      <c r="I39" s="127">
        <f>0.5*IF(K9&lt;I24,(I26+I27),IF(K9&lt;I25,(I26+I27-(K9-I24)*I30),(I26+I27-(I25-I24)*I30-(K9-I25)*I35)))</f>
        <v>4356.59</v>
      </c>
      <c r="J39" s="259"/>
      <c r="K39" s="259"/>
    </row>
    <row r="40" spans="8:11">
      <c r="H40" s="94" t="s">
        <v>90</v>
      </c>
      <c r="I40" s="128">
        <f>(I21+I22-(I20-I19)*I30)/I35+I20</f>
        <v>191959.64912280702</v>
      </c>
      <c r="J40" s="259"/>
      <c r="K40" s="259"/>
    </row>
    <row r="41" spans="8:11" ht="15.95" thickBot="1">
      <c r="H41" s="105" t="s">
        <v>91</v>
      </c>
      <c r="I41" s="129">
        <f>(I26+I27-(I25-I24)*I30)/I35+I25</f>
        <v>196192.49122807017</v>
      </c>
      <c r="J41" s="259"/>
      <c r="K41" s="259"/>
    </row>
    <row r="42" spans="8:11" ht="15.95" thickBot="1">
      <c r="H42" s="190" t="s">
        <v>92</v>
      </c>
      <c r="I42" s="259"/>
      <c r="J42" s="259"/>
      <c r="K42" s="259"/>
    </row>
    <row r="43" spans="8:11" ht="15.95" thickBot="1">
      <c r="H43" s="272" t="s">
        <v>93</v>
      </c>
      <c r="I43" s="273"/>
      <c r="J43" s="211" t="s">
        <v>94</v>
      </c>
      <c r="K43" s="259"/>
    </row>
    <row r="44" spans="8:11" ht="15.95" thickBot="1">
      <c r="H44" s="94" t="s">
        <v>95</v>
      </c>
      <c r="I44" s="108">
        <v>290</v>
      </c>
      <c r="J44" s="211">
        <v>284</v>
      </c>
      <c r="K44" s="259" t="s">
        <v>96</v>
      </c>
    </row>
    <row r="45" spans="8:11" ht="15.95" thickBot="1">
      <c r="H45" s="94" t="s">
        <v>97</v>
      </c>
      <c r="I45" s="108">
        <v>290</v>
      </c>
      <c r="J45" s="212">
        <v>284</v>
      </c>
      <c r="K45" s="259"/>
    </row>
    <row r="46" spans="8:11" ht="15.95" thickBot="1">
      <c r="H46" s="94" t="s">
        <v>98</v>
      </c>
      <c r="I46" s="108">
        <v>153</v>
      </c>
      <c r="J46" s="211">
        <v>149</v>
      </c>
      <c r="K46" s="259"/>
    </row>
    <row r="47" spans="8:11" ht="15.95" thickBot="1">
      <c r="H47" s="94" t="s">
        <v>99</v>
      </c>
      <c r="I47" s="108">
        <v>37789</v>
      </c>
      <c r="J47" s="213">
        <v>36976</v>
      </c>
      <c r="K47" s="259"/>
    </row>
    <row r="48" spans="8:11" ht="15.95" thickBot="1">
      <c r="H48" s="94" t="s">
        <v>100</v>
      </c>
      <c r="I48" s="111">
        <v>0.05</v>
      </c>
      <c r="J48" s="214">
        <v>0.05</v>
      </c>
      <c r="K48" s="259" t="s">
        <v>101</v>
      </c>
    </row>
    <row r="49" spans="1:10" ht="15.95" thickBot="1">
      <c r="A49" s="259"/>
      <c r="B49" s="259"/>
      <c r="C49" s="259"/>
      <c r="D49" s="259"/>
      <c r="E49" s="259"/>
      <c r="F49" s="259"/>
      <c r="G49" s="259"/>
      <c r="H49" s="130" t="s">
        <v>102</v>
      </c>
      <c r="I49" s="112">
        <f>MAX(0,(I44+I45+(I46*C16))-IF(K9&lt;I47,0,((K9-I47)*I48)))</f>
        <v>0</v>
      </c>
      <c r="J49" s="215">
        <f>MAX(0,(J44+J45+(J46*D16))-IF(K9&lt;J47,0,((K9-J47)*J48)))</f>
        <v>0</v>
      </c>
    </row>
    <row r="52" spans="1:10">
      <c r="A52" s="259" t="s">
        <v>103</v>
      </c>
      <c r="B52" s="259"/>
      <c r="C52" s="259"/>
      <c r="D52" s="259"/>
      <c r="E52" s="259"/>
      <c r="F52" s="259"/>
      <c r="G52" s="259"/>
      <c r="H52" s="259"/>
      <c r="I52" s="259"/>
      <c r="J52" s="259"/>
    </row>
    <row r="53" spans="1:10">
      <c r="A53" s="259" t="s">
        <v>104</v>
      </c>
      <c r="B53" s="259"/>
      <c r="C53" s="259"/>
      <c r="D53" s="259"/>
      <c r="E53" s="259"/>
      <c r="F53" s="259"/>
      <c r="G53" s="259"/>
      <c r="H53" s="259"/>
      <c r="I53" s="259"/>
      <c r="J53" s="259"/>
    </row>
    <row r="54" spans="1:10">
      <c r="A54" s="259" t="s">
        <v>105</v>
      </c>
      <c r="B54" s="259"/>
      <c r="C54" s="259"/>
      <c r="D54" s="259"/>
      <c r="E54" s="259"/>
      <c r="F54" s="259"/>
      <c r="G54" s="259"/>
      <c r="H54" s="259"/>
      <c r="I54" s="259"/>
      <c r="J54" s="259"/>
    </row>
    <row r="56" spans="1:10">
      <c r="A56" s="259" t="s">
        <v>106</v>
      </c>
      <c r="B56" s="259"/>
      <c r="C56" s="259"/>
      <c r="D56" s="259"/>
      <c r="E56" s="259"/>
      <c r="F56" s="259"/>
      <c r="G56" s="259"/>
      <c r="H56" s="259"/>
      <c r="I56" s="259"/>
      <c r="J56" s="259"/>
    </row>
    <row r="58" spans="1:10">
      <c r="A58" s="259" t="s">
        <v>107</v>
      </c>
      <c r="B58" s="259"/>
      <c r="C58" s="259"/>
      <c r="D58" s="259"/>
      <c r="E58" s="259"/>
      <c r="F58" s="259"/>
      <c r="G58" s="259"/>
      <c r="H58" s="259"/>
      <c r="I58" s="259"/>
      <c r="J58" s="259"/>
    </row>
    <row r="64" spans="1:10">
      <c r="A64" s="259"/>
      <c r="B64" s="259"/>
      <c r="C64" s="259"/>
      <c r="D64" s="259"/>
      <c r="E64" s="259"/>
      <c r="F64" s="259"/>
      <c r="G64" s="259"/>
      <c r="H64" s="268"/>
      <c r="I64" s="268"/>
      <c r="J64" s="259"/>
    </row>
    <row r="73" spans="8:9">
      <c r="H73" s="269"/>
      <c r="I73" s="269"/>
    </row>
    <row r="74" spans="8:9">
      <c r="H74" s="258"/>
      <c r="I74" s="258"/>
    </row>
  </sheetData>
  <mergeCells count="4">
    <mergeCell ref="H73:I73"/>
    <mergeCell ref="B15:C15"/>
    <mergeCell ref="H43:I43"/>
    <mergeCell ref="H64:I64"/>
  </mergeCells>
  <hyperlinks>
    <hyperlink ref="J18" r:id="rId1" xr:uid="{8746554B-81D9-9341-BDB9-904C7B2771E4}"/>
    <hyperlink ref="H42" r:id="rId2" xr:uid="{4A165DE4-8AD2-4B46-9AE3-A95EB32A59C3}"/>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5"/>
  <sheetViews>
    <sheetView topLeftCell="A55" zoomScale="130" zoomScaleNormal="130" workbookViewId="0">
      <selection activeCell="E67" sqref="E67"/>
    </sheetView>
  </sheetViews>
  <sheetFormatPr defaultColWidth="8.85546875" defaultRowHeight="15"/>
  <cols>
    <col min="2" max="2" width="31.7109375" customWidth="1"/>
    <col min="3" max="3" width="10.140625" customWidth="1"/>
    <col min="6" max="6" width="5" style="177" customWidth="1"/>
    <col min="7" max="7" width="30.140625" customWidth="1"/>
    <col min="8" max="8" width="10.7109375" bestFit="1" customWidth="1"/>
    <col min="9" max="9" width="11.7109375" bestFit="1" customWidth="1"/>
    <col min="11" max="11" width="14.7109375" customWidth="1"/>
    <col min="12" max="12" width="15.140625" customWidth="1"/>
  </cols>
  <sheetData>
    <row r="1" spans="1:30" ht="15.95">
      <c r="A1" s="259"/>
      <c r="B1" s="198" t="s">
        <v>108</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row>
    <row r="2" spans="1:30" ht="15.95" thickBot="1">
      <c r="A2" s="38"/>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row>
    <row r="3" spans="1:30">
      <c r="A3" s="259"/>
      <c r="B3" s="259" t="s">
        <v>36</v>
      </c>
      <c r="C3" s="259">
        <f>'LW 2020 Income'!B37</f>
        <v>19.3</v>
      </c>
      <c r="D3" s="259"/>
      <c r="E3" s="259"/>
      <c r="F3" s="259"/>
      <c r="G3" s="88" t="s">
        <v>25</v>
      </c>
      <c r="H3" s="135"/>
      <c r="I3" s="135"/>
      <c r="J3" s="135"/>
      <c r="K3" s="135"/>
      <c r="L3" s="135"/>
      <c r="M3" s="135"/>
      <c r="N3" s="136"/>
      <c r="O3" s="259"/>
      <c r="P3" s="259"/>
      <c r="Q3" s="259"/>
      <c r="R3" s="259"/>
      <c r="S3" s="259"/>
      <c r="T3" s="259"/>
      <c r="U3" s="259"/>
      <c r="V3" s="259"/>
      <c r="W3" s="259"/>
      <c r="X3" s="259"/>
      <c r="Y3" s="259"/>
      <c r="Z3" s="259"/>
      <c r="AA3" s="259"/>
      <c r="AB3" s="259"/>
      <c r="AC3" s="259"/>
      <c r="AD3" s="259"/>
    </row>
    <row r="4" spans="1:30">
      <c r="A4" s="259"/>
      <c r="B4" s="259"/>
      <c r="C4" s="259"/>
      <c r="D4" s="259"/>
      <c r="E4" s="259"/>
      <c r="F4" s="259"/>
      <c r="G4" s="94"/>
      <c r="H4" s="104"/>
      <c r="I4" s="104"/>
      <c r="J4" s="104"/>
      <c r="K4" s="104"/>
      <c r="L4" s="104"/>
      <c r="M4" s="104"/>
      <c r="N4" s="95"/>
      <c r="O4" s="259"/>
      <c r="P4" s="259"/>
      <c r="Q4" s="259"/>
      <c r="R4" s="259"/>
      <c r="S4" s="259"/>
      <c r="T4" s="259"/>
      <c r="U4" s="259"/>
      <c r="V4" s="259"/>
      <c r="W4" s="259"/>
      <c r="X4" s="259"/>
      <c r="Y4" s="259"/>
      <c r="Z4" s="259"/>
      <c r="AA4" s="259"/>
      <c r="AB4" s="259"/>
      <c r="AC4" s="259"/>
      <c r="AD4" s="259"/>
    </row>
    <row r="5" spans="1:30" ht="15.95" thickBot="1">
      <c r="A5" s="259"/>
      <c r="B5" s="199"/>
      <c r="C5" s="259"/>
      <c r="D5" s="259"/>
      <c r="E5" s="259"/>
      <c r="F5" s="259"/>
      <c r="G5" s="94" t="s">
        <v>109</v>
      </c>
      <c r="H5" s="168">
        <f>H15</f>
        <v>57252</v>
      </c>
      <c r="I5" s="104"/>
      <c r="J5" s="104"/>
      <c r="K5" s="104" t="s">
        <v>110</v>
      </c>
      <c r="L5" s="245">
        <v>0.02</v>
      </c>
      <c r="M5" s="104"/>
      <c r="N5" s="95"/>
      <c r="O5" s="259"/>
      <c r="P5" s="259"/>
      <c r="Q5" s="259"/>
      <c r="R5" s="259"/>
      <c r="S5" s="259"/>
      <c r="T5" s="259"/>
      <c r="U5" s="259"/>
      <c r="V5" s="259"/>
      <c r="W5" s="259"/>
      <c r="X5" s="259"/>
      <c r="Y5" s="259"/>
      <c r="Z5" s="259"/>
      <c r="AA5" s="259"/>
      <c r="AB5" s="259"/>
      <c r="AC5" s="259"/>
      <c r="AD5" s="259"/>
    </row>
    <row r="6" spans="1:30">
      <c r="A6" s="259"/>
      <c r="B6" s="134" t="s">
        <v>111</v>
      </c>
      <c r="C6" s="135"/>
      <c r="D6" s="135"/>
      <c r="E6" s="259"/>
      <c r="F6" s="259"/>
      <c r="G6" s="94" t="s">
        <v>112</v>
      </c>
      <c r="H6" s="191">
        <v>110</v>
      </c>
      <c r="I6" s="104"/>
      <c r="J6" s="104"/>
      <c r="K6" s="104" t="s">
        <v>113</v>
      </c>
      <c r="L6" s="104">
        <v>30000</v>
      </c>
      <c r="M6" s="104"/>
      <c r="N6" s="95"/>
      <c r="O6" s="259"/>
      <c r="P6" s="259"/>
      <c r="Q6" s="259"/>
      <c r="R6" s="259"/>
      <c r="S6" s="259"/>
      <c r="T6" s="259"/>
      <c r="U6" s="259"/>
      <c r="V6" s="259"/>
      <c r="W6" s="259"/>
      <c r="X6" s="259"/>
      <c r="Y6" s="259"/>
      <c r="Z6" s="259"/>
      <c r="AA6" s="259"/>
      <c r="AB6" s="259"/>
      <c r="AC6" s="259"/>
      <c r="AD6" s="259"/>
    </row>
    <row r="7" spans="1:30">
      <c r="A7" s="259"/>
      <c r="B7" s="94" t="s">
        <v>114</v>
      </c>
      <c r="C7" s="137">
        <v>1.5800000000000002E-2</v>
      </c>
      <c r="D7" s="104"/>
      <c r="E7" s="259"/>
      <c r="F7" s="259"/>
      <c r="G7" s="169" t="s">
        <v>115</v>
      </c>
      <c r="H7" s="191">
        <v>55</v>
      </c>
      <c r="I7" s="104"/>
      <c r="J7" s="104"/>
      <c r="K7" s="104" t="s">
        <v>116</v>
      </c>
      <c r="L7" s="168">
        <f>(H5-L6)*L5</f>
        <v>545.04</v>
      </c>
      <c r="M7" s="104"/>
      <c r="N7" s="95"/>
      <c r="O7" s="259"/>
      <c r="P7" s="259"/>
      <c r="Q7" s="259"/>
      <c r="R7" s="259"/>
      <c r="S7" s="259"/>
      <c r="T7" s="259"/>
      <c r="U7" s="259"/>
      <c r="V7" s="259"/>
      <c r="W7" s="259"/>
      <c r="X7" s="259"/>
      <c r="Y7" s="259"/>
      <c r="Z7" s="259"/>
      <c r="AA7" s="259"/>
      <c r="AB7" s="259"/>
      <c r="AC7" s="259"/>
      <c r="AD7" s="259"/>
    </row>
    <row r="8" spans="1:30" ht="15.95" thickBot="1">
      <c r="A8" s="259"/>
      <c r="B8" s="105" t="s">
        <v>117</v>
      </c>
      <c r="C8" s="138">
        <f>C7*'LW 2020 Income'!B38</f>
        <v>554.99080000000004</v>
      </c>
      <c r="D8" s="138">
        <f>C7*'LW 2020 Income'!C38</f>
        <v>554.99080000000004</v>
      </c>
      <c r="E8" s="259"/>
      <c r="F8" s="259"/>
      <c r="G8" s="169" t="s">
        <v>118</v>
      </c>
      <c r="H8" s="246">
        <v>5.0000000000000001E-3</v>
      </c>
      <c r="I8" s="104"/>
      <c r="J8" s="104"/>
      <c r="K8" s="104"/>
      <c r="L8" s="104"/>
      <c r="M8" s="104"/>
      <c r="N8" s="95"/>
      <c r="O8" s="259"/>
      <c r="P8" s="259"/>
      <c r="Q8" s="259"/>
      <c r="R8" s="259"/>
      <c r="S8" s="259"/>
      <c r="T8" s="259"/>
      <c r="U8" s="259"/>
      <c r="V8" s="259"/>
      <c r="W8" s="259"/>
      <c r="X8" s="259"/>
      <c r="Y8" s="259"/>
      <c r="Z8" s="259"/>
      <c r="AA8" s="259"/>
      <c r="AB8" s="259"/>
      <c r="AC8" s="259"/>
      <c r="AD8" s="259"/>
    </row>
    <row r="9" spans="1:30" ht="15.95" thickBot="1">
      <c r="A9" s="259"/>
      <c r="B9" s="199"/>
      <c r="C9" s="259"/>
      <c r="D9" s="259"/>
      <c r="E9" s="259"/>
      <c r="F9" s="259"/>
      <c r="G9" s="169" t="s">
        <v>119</v>
      </c>
      <c r="H9" s="191">
        <v>30000</v>
      </c>
      <c r="I9" s="191">
        <v>55</v>
      </c>
      <c r="J9" s="104"/>
      <c r="K9" s="168" t="s">
        <v>120</v>
      </c>
      <c r="L9" s="168">
        <f>MAX(H11-L7,0)</f>
        <v>0</v>
      </c>
      <c r="M9" s="104"/>
      <c r="N9" s="95"/>
      <c r="O9" s="259"/>
      <c r="P9" s="259"/>
      <c r="Q9" s="259"/>
      <c r="R9" s="259"/>
      <c r="S9" s="259"/>
      <c r="T9" s="259"/>
      <c r="U9" s="259"/>
      <c r="V9" s="259"/>
      <c r="W9" s="259"/>
      <c r="X9" s="259"/>
      <c r="Y9" s="259"/>
      <c r="Z9" s="259"/>
      <c r="AA9" s="259"/>
      <c r="AB9" s="259"/>
      <c r="AC9" s="259"/>
      <c r="AD9" s="259"/>
    </row>
    <row r="10" spans="1:30">
      <c r="A10" s="259"/>
      <c r="B10" s="134" t="s">
        <v>121</v>
      </c>
      <c r="C10" s="135"/>
      <c r="D10" s="136"/>
      <c r="E10" s="259"/>
      <c r="F10" s="259"/>
      <c r="G10" s="243" t="s">
        <v>122</v>
      </c>
      <c r="H10" s="168">
        <f>MIN((H5-H9)*H8,I9)</f>
        <v>55</v>
      </c>
      <c r="I10" s="104"/>
      <c r="J10" s="104"/>
      <c r="K10" s="104"/>
      <c r="L10" s="104"/>
      <c r="M10" s="104"/>
      <c r="N10" s="95"/>
      <c r="O10" s="259"/>
      <c r="P10" s="259"/>
      <c r="Q10" s="259"/>
      <c r="R10" s="259"/>
      <c r="S10" s="259"/>
      <c r="T10" s="259"/>
      <c r="U10" s="259"/>
      <c r="V10" s="259"/>
      <c r="W10" s="259"/>
      <c r="X10" s="259"/>
      <c r="Y10" s="259"/>
      <c r="Z10" s="259"/>
      <c r="AA10" s="259"/>
      <c r="AB10" s="259"/>
      <c r="AC10" s="259"/>
      <c r="AD10" s="259"/>
    </row>
    <row r="11" spans="1:30" ht="15.95" thickBot="1">
      <c r="A11" s="259"/>
      <c r="B11" s="94" t="s">
        <v>123</v>
      </c>
      <c r="C11" s="137">
        <v>5.2499999999999998E-2</v>
      </c>
      <c r="D11" s="95"/>
      <c r="E11" s="259"/>
      <c r="F11" s="259"/>
      <c r="G11" s="140" t="s">
        <v>124</v>
      </c>
      <c r="H11" s="141">
        <f>H6+H7+H10</f>
        <v>220</v>
      </c>
      <c r="I11" s="106"/>
      <c r="J11" s="106"/>
      <c r="K11" s="106"/>
      <c r="L11" s="106"/>
      <c r="M11" s="106"/>
      <c r="N11" s="107"/>
      <c r="O11" s="259"/>
      <c r="P11" s="259"/>
      <c r="Q11" s="259"/>
      <c r="R11" s="259"/>
      <c r="S11" s="259"/>
      <c r="T11" s="259"/>
      <c r="U11" s="259"/>
      <c r="V11" s="259"/>
      <c r="W11" s="259"/>
      <c r="X11" s="259"/>
      <c r="Y11" s="259"/>
      <c r="Z11" s="259"/>
      <c r="AA11" s="259"/>
      <c r="AB11" s="259"/>
      <c r="AC11" s="259"/>
      <c r="AD11" s="259"/>
    </row>
    <row r="12" spans="1:30" ht="15.95" thickBot="1">
      <c r="A12" s="259"/>
      <c r="B12" s="94" t="s">
        <v>125</v>
      </c>
      <c r="C12" s="139">
        <v>3500</v>
      </c>
      <c r="D12" s="95"/>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row>
    <row r="13" spans="1:30" ht="15.95" thickBot="1">
      <c r="A13" s="259"/>
      <c r="B13" s="140" t="s">
        <v>126</v>
      </c>
      <c r="C13" s="138">
        <f>('LW 2020 Income'!B38-$C$12)*$C$11</f>
        <v>1660.365</v>
      </c>
      <c r="D13" s="201">
        <f>('LW 2020 Income'!C38-$C$12)*$C$11</f>
        <v>1660.365</v>
      </c>
      <c r="E13" s="259"/>
      <c r="F13" s="259"/>
      <c r="G13" s="88" t="s">
        <v>127</v>
      </c>
      <c r="H13" s="135"/>
      <c r="I13" s="135"/>
      <c r="J13" s="135"/>
      <c r="K13" s="135"/>
      <c r="L13" s="135"/>
      <c r="M13" s="135"/>
      <c r="N13" s="136"/>
      <c r="O13" s="259"/>
      <c r="P13" s="259"/>
      <c r="Q13" s="259"/>
      <c r="R13" s="259"/>
      <c r="S13" s="259"/>
      <c r="T13" s="259"/>
      <c r="U13" s="259"/>
      <c r="V13" s="259"/>
      <c r="W13" s="259"/>
      <c r="X13" s="259"/>
      <c r="Y13" s="259"/>
      <c r="Z13" s="259"/>
      <c r="AA13" s="259"/>
      <c r="AB13" s="259"/>
      <c r="AC13" s="259"/>
      <c r="AD13" s="259"/>
    </row>
    <row r="14" spans="1:30">
      <c r="A14" s="259"/>
      <c r="B14" s="259"/>
      <c r="C14" s="259"/>
      <c r="D14" s="259"/>
      <c r="E14" s="259"/>
      <c r="F14" s="259"/>
      <c r="G14" s="94"/>
      <c r="H14" s="104"/>
      <c r="I14" s="104"/>
      <c r="J14" s="104"/>
      <c r="K14" s="104"/>
      <c r="L14" s="104"/>
      <c r="M14" s="104"/>
      <c r="N14" s="95"/>
      <c r="O14" s="259"/>
      <c r="P14" s="259"/>
      <c r="Q14" s="259"/>
      <c r="R14" s="259"/>
      <c r="S14" s="259"/>
      <c r="T14" s="259"/>
      <c r="U14" s="259"/>
      <c r="V14" s="259"/>
      <c r="W14" s="259"/>
      <c r="X14" s="259"/>
      <c r="Y14" s="259"/>
      <c r="Z14" s="259"/>
      <c r="AA14" s="259"/>
      <c r="AB14" s="259"/>
      <c r="AC14" s="259"/>
      <c r="AD14" s="259"/>
    </row>
    <row r="15" spans="1:30">
      <c r="A15" s="259"/>
      <c r="B15" s="142" t="s">
        <v>128</v>
      </c>
      <c r="C15" s="38" t="s">
        <v>129</v>
      </c>
      <c r="D15" s="38" t="s">
        <v>130</v>
      </c>
      <c r="E15" s="259"/>
      <c r="F15" s="259"/>
      <c r="G15" s="94" t="s">
        <v>131</v>
      </c>
      <c r="H15" s="168">
        <f>'LW 2020 Income'!B40+'LW 2020 Income'!C40</f>
        <v>57252</v>
      </c>
      <c r="I15" s="104"/>
      <c r="J15" s="104"/>
      <c r="K15" s="104" t="s">
        <v>132</v>
      </c>
      <c r="L15" s="168">
        <f>H15</f>
        <v>57252</v>
      </c>
      <c r="M15" s="104"/>
      <c r="N15" s="95"/>
      <c r="O15" s="259"/>
      <c r="P15" s="259"/>
      <c r="Q15" s="259"/>
      <c r="R15" s="259"/>
      <c r="S15" s="259"/>
      <c r="T15" s="259"/>
      <c r="U15" s="259"/>
      <c r="V15" s="259"/>
      <c r="W15" s="259"/>
      <c r="X15" s="259"/>
      <c r="Y15" s="259"/>
      <c r="Z15" s="259"/>
      <c r="AA15" s="259"/>
      <c r="AB15" s="259"/>
      <c r="AC15" s="259"/>
      <c r="AD15" s="259"/>
    </row>
    <row r="16" spans="1:30">
      <c r="A16" s="259"/>
      <c r="B16" s="259" t="s">
        <v>133</v>
      </c>
      <c r="C16" s="187">
        <v>9160</v>
      </c>
      <c r="D16" s="143">
        <v>12069</v>
      </c>
      <c r="E16" s="259"/>
      <c r="F16" s="259"/>
      <c r="G16" s="94"/>
      <c r="H16" s="104"/>
      <c r="I16" s="104"/>
      <c r="J16" s="104"/>
      <c r="K16" s="104" t="s">
        <v>134</v>
      </c>
      <c r="L16" s="187">
        <v>-17000</v>
      </c>
      <c r="M16" s="104"/>
      <c r="N16" s="95"/>
      <c r="O16" s="259"/>
      <c r="P16" s="259"/>
      <c r="Q16" s="259"/>
      <c r="R16" s="259"/>
      <c r="S16" s="259"/>
      <c r="T16" s="259"/>
      <c r="U16" s="259"/>
      <c r="V16" s="259"/>
      <c r="W16" s="259"/>
      <c r="X16" s="259"/>
      <c r="Y16" s="259"/>
      <c r="Z16" s="259"/>
      <c r="AA16" s="259"/>
      <c r="AB16" s="259"/>
      <c r="AC16" s="259"/>
      <c r="AD16" s="259"/>
    </row>
    <row r="17" spans="1:30">
      <c r="A17" s="259"/>
      <c r="B17" s="259" t="s">
        <v>135</v>
      </c>
      <c r="C17" s="187">
        <v>8558</v>
      </c>
      <c r="D17" s="259"/>
      <c r="E17" s="259"/>
      <c r="F17" s="259"/>
      <c r="G17" s="94" t="s">
        <v>136</v>
      </c>
      <c r="H17" s="104"/>
      <c r="I17" s="241">
        <v>350</v>
      </c>
      <c r="J17" s="104"/>
      <c r="K17" s="168" t="s">
        <v>137</v>
      </c>
      <c r="L17" s="168">
        <f>L16+L15</f>
        <v>40252</v>
      </c>
      <c r="M17" s="104"/>
      <c r="N17" s="95"/>
      <c r="O17" s="259"/>
      <c r="P17" s="259"/>
      <c r="Q17" s="259"/>
      <c r="R17" s="259"/>
      <c r="S17" s="259"/>
      <c r="T17" s="259"/>
      <c r="U17" s="259"/>
      <c r="V17" s="259"/>
      <c r="W17" s="259"/>
      <c r="X17" s="259"/>
      <c r="Y17" s="259"/>
      <c r="Z17" s="259"/>
      <c r="AA17" s="259"/>
      <c r="AB17" s="259"/>
      <c r="AC17" s="259"/>
      <c r="AD17" s="259"/>
    </row>
    <row r="18" spans="1:30">
      <c r="A18" s="259"/>
      <c r="B18" s="259" t="s">
        <v>138</v>
      </c>
      <c r="C18" s="187">
        <v>3764</v>
      </c>
      <c r="D18" s="144">
        <v>7494</v>
      </c>
      <c r="E18" s="259"/>
      <c r="F18" s="259"/>
      <c r="G18" s="94" t="s">
        <v>139</v>
      </c>
      <c r="H18" s="104"/>
      <c r="I18" s="191">
        <v>250</v>
      </c>
      <c r="J18" s="104"/>
      <c r="K18" s="148" t="s">
        <v>140</v>
      </c>
      <c r="L18" s="242">
        <v>0.05</v>
      </c>
      <c r="M18" s="104"/>
      <c r="N18" s="95"/>
      <c r="O18" s="259"/>
      <c r="P18" s="259"/>
      <c r="Q18" s="259"/>
      <c r="R18" s="259"/>
      <c r="S18" s="259"/>
      <c r="T18" s="259"/>
      <c r="U18" s="259"/>
      <c r="V18" s="259"/>
      <c r="W18" s="259"/>
      <c r="X18" s="259"/>
      <c r="Y18" s="259"/>
      <c r="Z18" s="259"/>
      <c r="AA18" s="259"/>
      <c r="AB18" s="259"/>
      <c r="AC18" s="259"/>
      <c r="AD18" s="259"/>
    </row>
    <row r="19" spans="1:30">
      <c r="A19" s="259"/>
      <c r="B19" s="259" t="s">
        <v>141</v>
      </c>
      <c r="C19" s="187">
        <v>8558</v>
      </c>
      <c r="D19" s="144">
        <v>8416</v>
      </c>
      <c r="E19" s="259"/>
      <c r="F19" s="259"/>
      <c r="G19" s="94" t="s">
        <v>142</v>
      </c>
      <c r="H19" s="104"/>
      <c r="I19" s="191">
        <v>350</v>
      </c>
      <c r="J19" s="104"/>
      <c r="K19" s="158" t="s">
        <v>143</v>
      </c>
      <c r="L19" s="168">
        <f>L18*L17</f>
        <v>2012.6000000000001</v>
      </c>
      <c r="M19" s="104"/>
      <c r="N19" s="95"/>
      <c r="O19" s="259"/>
      <c r="P19" s="259"/>
      <c r="Q19" s="259"/>
      <c r="R19" s="259"/>
      <c r="S19" s="259"/>
      <c r="T19" s="259"/>
      <c r="U19" s="259"/>
      <c r="V19" s="259"/>
      <c r="W19" s="259"/>
      <c r="X19" s="259"/>
      <c r="Y19" s="259"/>
      <c r="Z19" s="259"/>
      <c r="AA19" s="259"/>
      <c r="AB19" s="259"/>
      <c r="AC19" s="259"/>
      <c r="AD19" s="259"/>
    </row>
    <row r="20" spans="1:30">
      <c r="A20" s="259"/>
      <c r="B20" s="259" t="s">
        <v>144</v>
      </c>
      <c r="C20" s="188">
        <v>0.03</v>
      </c>
      <c r="D20" s="145">
        <v>0.03</v>
      </c>
      <c r="E20" s="259"/>
      <c r="F20" s="259"/>
      <c r="G20" s="94" t="s">
        <v>145</v>
      </c>
      <c r="H20" s="104"/>
      <c r="I20" s="191">
        <v>250</v>
      </c>
      <c r="J20" s="104"/>
      <c r="K20" s="104"/>
      <c r="L20" s="104"/>
      <c r="M20" s="104"/>
      <c r="N20" s="95"/>
      <c r="O20" s="259"/>
      <c r="P20" s="259"/>
      <c r="Q20" s="259"/>
      <c r="R20" s="259"/>
      <c r="S20" s="259"/>
      <c r="T20" s="259"/>
      <c r="U20" s="259"/>
      <c r="V20" s="259"/>
      <c r="W20" s="259"/>
      <c r="X20" s="259"/>
      <c r="Y20" s="259"/>
      <c r="Z20" s="259"/>
      <c r="AA20" s="259"/>
      <c r="AB20" s="259"/>
      <c r="AC20" s="259"/>
      <c r="AD20" s="259"/>
    </row>
    <row r="21" spans="1:30">
      <c r="A21" s="259"/>
      <c r="B21" s="259" t="s">
        <v>146</v>
      </c>
      <c r="C21" s="189">
        <v>9.8000000000000004E-2</v>
      </c>
      <c r="D21" s="145">
        <v>0.15</v>
      </c>
      <c r="E21" s="259"/>
      <c r="F21" s="259"/>
      <c r="G21" s="94" t="s">
        <v>147</v>
      </c>
      <c r="H21" s="104"/>
      <c r="I21" s="191">
        <v>350</v>
      </c>
      <c r="J21" s="104"/>
      <c r="K21" s="148" t="s">
        <v>148</v>
      </c>
      <c r="L21" s="104">
        <f>I23-L19</f>
        <v>-1062.6000000000001</v>
      </c>
      <c r="M21" s="104"/>
      <c r="N21" s="95"/>
      <c r="O21" s="259"/>
      <c r="P21" s="259"/>
      <c r="Q21" s="259"/>
      <c r="R21" s="259"/>
      <c r="S21" s="259"/>
      <c r="T21" s="259"/>
      <c r="U21" s="259"/>
      <c r="V21" s="259"/>
      <c r="W21" s="259"/>
      <c r="X21" s="259"/>
      <c r="Y21" s="259"/>
      <c r="Z21" s="259"/>
      <c r="AA21" s="259"/>
      <c r="AB21" s="259"/>
      <c r="AC21" s="259"/>
      <c r="AD21" s="259"/>
    </row>
    <row r="22" spans="1:30">
      <c r="A22" s="259"/>
      <c r="B22" s="259" t="s">
        <v>149</v>
      </c>
      <c r="C22" s="187"/>
      <c r="D22" s="147">
        <v>1222</v>
      </c>
      <c r="E22" s="259"/>
      <c r="F22" s="259"/>
      <c r="G22" s="94" t="s">
        <v>150</v>
      </c>
      <c r="H22" s="104"/>
      <c r="I22" s="241">
        <v>600</v>
      </c>
      <c r="J22" s="104"/>
      <c r="K22" s="168" t="s">
        <v>151</v>
      </c>
      <c r="L22" s="168">
        <f>IF(L21&lt;0,0,L21)</f>
        <v>0</v>
      </c>
      <c r="M22" s="168" t="s">
        <v>152</v>
      </c>
      <c r="N22" s="95"/>
      <c r="O22" s="259"/>
      <c r="P22" s="259"/>
      <c r="Q22" s="259"/>
      <c r="R22" s="259"/>
      <c r="S22" s="259"/>
      <c r="T22" s="259"/>
      <c r="U22" s="259"/>
      <c r="V22" s="259"/>
      <c r="W22" s="259"/>
      <c r="X22" s="259"/>
      <c r="Y22" s="259"/>
      <c r="Z22" s="259"/>
      <c r="AA22" s="259"/>
      <c r="AB22" s="259"/>
      <c r="AC22" s="259"/>
      <c r="AD22" s="259"/>
    </row>
    <row r="23" spans="1:30" s="182" customFormat="1">
      <c r="A23" s="259"/>
      <c r="B23" s="259" t="s">
        <v>153</v>
      </c>
      <c r="C23" s="187">
        <v>100</v>
      </c>
      <c r="D23" s="147"/>
      <c r="E23" s="259"/>
      <c r="F23" s="259"/>
      <c r="G23" s="243" t="s">
        <v>154</v>
      </c>
      <c r="H23" s="168"/>
      <c r="I23" s="168">
        <f>I17+I22</f>
        <v>950</v>
      </c>
      <c r="J23" s="104"/>
      <c r="K23" s="148" t="s">
        <v>155</v>
      </c>
      <c r="L23" s="104"/>
      <c r="M23" s="104"/>
      <c r="N23" s="95"/>
      <c r="O23" s="259"/>
      <c r="P23" s="259"/>
      <c r="Q23" s="259"/>
      <c r="R23" s="259"/>
      <c r="S23" s="259"/>
      <c r="T23" s="259"/>
      <c r="U23" s="259"/>
      <c r="V23" s="259"/>
      <c r="W23" s="259"/>
      <c r="X23" s="259"/>
      <c r="Y23" s="259"/>
      <c r="Z23" s="259"/>
      <c r="AA23" s="259"/>
      <c r="AB23" s="259"/>
      <c r="AC23" s="259"/>
      <c r="AD23" s="259"/>
    </row>
    <row r="24" spans="1:30" ht="15.95" thickBot="1">
      <c r="A24" s="259"/>
      <c r="B24" s="259"/>
      <c r="C24" s="259"/>
      <c r="D24" s="199"/>
      <c r="E24" s="259"/>
      <c r="F24" s="259"/>
      <c r="G24" s="105"/>
      <c r="H24" s="106"/>
      <c r="I24" s="106"/>
      <c r="J24" s="106"/>
      <c r="K24" s="106"/>
      <c r="L24" s="106"/>
      <c r="M24" s="106"/>
      <c r="N24" s="107"/>
      <c r="O24" s="259"/>
      <c r="P24" s="259"/>
      <c r="Q24" s="259"/>
      <c r="R24" s="259"/>
      <c r="S24" s="259"/>
      <c r="T24" s="259"/>
      <c r="U24" s="259"/>
      <c r="V24" s="259"/>
      <c r="W24" s="259"/>
      <c r="X24" s="259"/>
      <c r="Y24" s="259"/>
      <c r="Z24" s="259"/>
      <c r="AA24" s="259"/>
      <c r="AB24" s="259"/>
      <c r="AC24" s="259"/>
      <c r="AD24" s="259"/>
    </row>
    <row r="25" spans="1:30">
      <c r="A25" s="259"/>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row>
    <row r="26" spans="1:30">
      <c r="A26" s="259"/>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row>
    <row r="27" spans="1:30" ht="15.95" thickBot="1">
      <c r="A27" s="259"/>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row>
    <row r="28" spans="1:30">
      <c r="A28" s="259"/>
      <c r="B28" s="259"/>
      <c r="C28" s="259"/>
      <c r="D28" s="259"/>
      <c r="E28" s="259"/>
      <c r="F28" s="259"/>
      <c r="G28" s="193" t="s">
        <v>156</v>
      </c>
      <c r="H28" s="159" t="s">
        <v>157</v>
      </c>
      <c r="I28" s="160" t="s">
        <v>158</v>
      </c>
      <c r="J28" s="66" t="s">
        <v>159</v>
      </c>
      <c r="K28" s="259"/>
      <c r="L28" s="259"/>
      <c r="M28" s="259"/>
      <c r="N28" s="259"/>
      <c r="O28" s="259"/>
      <c r="P28" s="259"/>
      <c r="Q28" s="259"/>
      <c r="R28" s="259"/>
      <c r="S28" s="259"/>
      <c r="T28" s="259"/>
      <c r="U28" s="259"/>
      <c r="V28" s="259"/>
      <c r="W28" s="259"/>
      <c r="X28" s="259"/>
      <c r="Y28" s="259"/>
      <c r="Z28" s="259"/>
      <c r="AA28" s="259"/>
      <c r="AB28" s="259"/>
      <c r="AC28" s="259"/>
      <c r="AD28" s="259"/>
    </row>
    <row r="29" spans="1:30" ht="15.95" thickBot="1">
      <c r="A29" s="259"/>
      <c r="B29" s="259"/>
      <c r="C29" s="259"/>
      <c r="D29" s="259"/>
      <c r="E29" s="259"/>
      <c r="F29" s="259"/>
      <c r="G29" s="94" t="s">
        <v>134</v>
      </c>
      <c r="H29" s="96">
        <f>C16</f>
        <v>9160</v>
      </c>
      <c r="I29" s="96">
        <f>C16</f>
        <v>9160</v>
      </c>
      <c r="J29" s="259"/>
      <c r="K29" s="259"/>
      <c r="L29" s="259"/>
      <c r="M29" s="259"/>
      <c r="N29" s="259"/>
      <c r="O29" s="259"/>
      <c r="P29" s="259"/>
      <c r="Q29" s="259"/>
      <c r="R29" s="259"/>
      <c r="S29" s="259"/>
      <c r="T29" s="259"/>
      <c r="U29" s="259"/>
      <c r="V29" s="259"/>
      <c r="W29" s="259"/>
      <c r="X29" s="259"/>
      <c r="Y29" s="259"/>
      <c r="Z29" s="259"/>
      <c r="AA29" s="259"/>
      <c r="AB29" s="259"/>
      <c r="AC29" s="259"/>
      <c r="AD29" s="259"/>
    </row>
    <row r="30" spans="1:30" ht="17.100000000000001" thickTop="1" thickBot="1">
      <c r="A30" s="259"/>
      <c r="B30" s="259"/>
      <c r="C30" s="259"/>
      <c r="D30" s="259"/>
      <c r="E30" s="259"/>
      <c r="F30" s="259"/>
      <c r="G30" s="94" t="s">
        <v>160</v>
      </c>
      <c r="H30" s="163">
        <f>C8</f>
        <v>554.99080000000004</v>
      </c>
      <c r="I30" s="164">
        <f>D8</f>
        <v>554.99080000000004</v>
      </c>
      <c r="J30" s="259"/>
      <c r="K30" s="259"/>
      <c r="L30" s="259"/>
      <c r="M30" s="259"/>
      <c r="N30" s="259"/>
      <c r="O30" s="259"/>
      <c r="P30" s="259"/>
      <c r="Q30" s="259"/>
      <c r="R30" s="259"/>
      <c r="S30" s="259"/>
      <c r="T30" s="259"/>
      <c r="U30" s="259"/>
      <c r="V30" s="259"/>
      <c r="W30" s="259"/>
      <c r="X30" s="259"/>
      <c r="Y30" s="259"/>
      <c r="Z30" s="259"/>
      <c r="AA30" s="259"/>
      <c r="AB30" s="259"/>
      <c r="AC30" s="259"/>
      <c r="AD30" s="259"/>
    </row>
    <row r="31" spans="1:30" ht="17.100000000000001" thickTop="1" thickBot="1">
      <c r="A31" s="259"/>
      <c r="B31" s="142" t="s">
        <v>161</v>
      </c>
      <c r="C31" s="259"/>
      <c r="D31" s="259"/>
      <c r="E31" s="259"/>
      <c r="F31" s="259"/>
      <c r="G31" s="94" t="s">
        <v>162</v>
      </c>
      <c r="H31" s="163">
        <f>C13</f>
        <v>1660.365</v>
      </c>
      <c r="I31" s="164">
        <f>D13</f>
        <v>1660.365</v>
      </c>
      <c r="J31" s="259"/>
      <c r="K31" s="259"/>
      <c r="L31" s="259"/>
      <c r="M31" s="259"/>
      <c r="N31" s="259"/>
      <c r="O31" s="259"/>
      <c r="P31" s="259"/>
      <c r="Q31" s="259"/>
      <c r="R31" s="259"/>
      <c r="S31" s="259"/>
      <c r="T31" s="259"/>
      <c r="U31" s="259"/>
      <c r="V31" s="259"/>
      <c r="W31" s="259"/>
      <c r="X31" s="259"/>
      <c r="Y31" s="259"/>
      <c r="Z31" s="259"/>
      <c r="AA31" s="259"/>
      <c r="AB31" s="259"/>
      <c r="AC31" s="259"/>
      <c r="AD31" s="259"/>
    </row>
    <row r="32" spans="1:30" ht="17.100000000000001" thickTop="1" thickBot="1">
      <c r="A32" s="259"/>
      <c r="B32" s="259" t="s">
        <v>163</v>
      </c>
      <c r="C32" s="259" t="s">
        <v>164</v>
      </c>
      <c r="D32" s="259" t="s">
        <v>165</v>
      </c>
      <c r="E32" s="259" t="s">
        <v>166</v>
      </c>
      <c r="F32" s="259"/>
      <c r="G32" s="94" t="s">
        <v>167</v>
      </c>
      <c r="H32" s="104"/>
      <c r="I32" s="166">
        <f>L35</f>
        <v>1792</v>
      </c>
      <c r="J32" s="259"/>
      <c r="K32" s="274" t="s">
        <v>168</v>
      </c>
      <c r="L32" s="275"/>
      <c r="M32" s="259" t="s">
        <v>158</v>
      </c>
      <c r="N32" s="259"/>
      <c r="O32" s="259"/>
      <c r="P32" s="259"/>
      <c r="Q32" s="259"/>
      <c r="R32" s="259"/>
      <c r="S32" s="259"/>
      <c r="T32" s="259"/>
      <c r="U32" s="259"/>
      <c r="V32" s="259"/>
      <c r="W32" s="259"/>
      <c r="X32" s="259"/>
      <c r="Y32" s="259"/>
      <c r="Z32" s="259"/>
      <c r="AA32" s="259"/>
      <c r="AB32" s="259"/>
      <c r="AC32" s="259"/>
      <c r="AD32" s="259"/>
    </row>
    <row r="33" spans="1:14" ht="17.100000000000001" thickTop="1" thickBot="1">
      <c r="A33" s="259"/>
      <c r="B33" s="187">
        <v>0</v>
      </c>
      <c r="C33" s="187">
        <v>31984</v>
      </c>
      <c r="D33" s="189">
        <v>9.8000000000000004E-2</v>
      </c>
      <c r="E33" s="187"/>
      <c r="F33" s="259"/>
      <c r="G33" s="94" t="s">
        <v>169</v>
      </c>
      <c r="H33" s="168">
        <f>'LW 2020 Income'!C11-'LW 2020 Income'!B40*C20</f>
        <v>1452.18</v>
      </c>
      <c r="I33" s="95"/>
      <c r="J33" s="259"/>
      <c r="K33" s="192" t="s">
        <v>170</v>
      </c>
      <c r="L33" s="154">
        <f>'Family Expenses'!B33*2</f>
        <v>832</v>
      </c>
      <c r="M33" s="259"/>
      <c r="N33" s="259"/>
    </row>
    <row r="34" spans="1:14" ht="17.100000000000001" thickTop="1" thickBot="1">
      <c r="A34" s="259"/>
      <c r="B34" s="187">
        <v>31985</v>
      </c>
      <c r="C34" s="187">
        <v>63969</v>
      </c>
      <c r="D34" s="189">
        <v>0.13800000000000001</v>
      </c>
      <c r="E34" s="187">
        <v>3134</v>
      </c>
      <c r="F34" s="259"/>
      <c r="G34" s="94" t="s">
        <v>171</v>
      </c>
      <c r="H34" s="149">
        <f>C23*12</f>
        <v>1200</v>
      </c>
      <c r="I34" s="95"/>
      <c r="J34" s="259"/>
      <c r="K34" s="192" t="s">
        <v>172</v>
      </c>
      <c r="L34" s="154">
        <f>120*8</f>
        <v>960</v>
      </c>
      <c r="M34" s="259"/>
      <c r="N34" s="259"/>
    </row>
    <row r="35" spans="1:14" ht="17.100000000000001" thickTop="1" thickBot="1">
      <c r="A35" s="259"/>
      <c r="B35" s="187">
        <v>63970</v>
      </c>
      <c r="C35" s="187"/>
      <c r="D35" s="189">
        <v>0.16700000000000001</v>
      </c>
      <c r="E35" s="187">
        <v>7548</v>
      </c>
      <c r="F35" s="259"/>
      <c r="G35" s="169" t="s">
        <v>173</v>
      </c>
      <c r="H35" s="149">
        <f>IF('LW 2020 Income'!B40&lt;'Taxes &amp; Credits'!C33,'Taxes &amp; Credits'!D33*'LW 2020 Income'!B40,IF('LW 2020 Income'!B40&gt;='Taxes &amp; Credits'!C33,'Taxes &amp; Credits'!E34+'Taxes &amp; Credits'!D34*('LW 2020 Income'!B40-'Taxes &amp; Credits'!B34),0))</f>
        <v>2168.348</v>
      </c>
      <c r="I35" s="149">
        <f>IF('LW 2020 Income'!C40&lt;'Taxes &amp; Credits'!C33,'Taxes &amp; Credits'!D33*'LW 2020 Income'!C40,IF('LW 2020 Income'!C40&gt;='Taxes &amp; Credits'!C33,'Taxes &amp; Credits'!E34+'Taxes &amp; Credits'!D34*('LW 2020 Income'!C40-'Taxes &amp; Credits'!B34),0))</f>
        <v>3567.4580000000001</v>
      </c>
      <c r="J35" s="259" t="s">
        <v>174</v>
      </c>
      <c r="K35" s="155" t="s">
        <v>17</v>
      </c>
      <c r="L35" s="156">
        <f>SUM(L33:L34)</f>
        <v>1792</v>
      </c>
      <c r="M35" s="259"/>
      <c r="N35" s="259"/>
    </row>
    <row r="36" spans="1:14">
      <c r="A36" s="259"/>
      <c r="B36" s="187"/>
      <c r="C36" s="187"/>
      <c r="D36" s="189"/>
      <c r="E36" s="187"/>
      <c r="F36" s="259"/>
      <c r="G36" s="169" t="s">
        <v>175</v>
      </c>
      <c r="H36" s="170">
        <f>(H29+H30+H31+H32+H33+H34)*$C$21</f>
        <v>1374.6985084</v>
      </c>
      <c r="I36" s="202">
        <f>(I29+I30+I31+I32+I33+I34)*$C$21</f>
        <v>1290.4008684</v>
      </c>
      <c r="J36" s="259"/>
      <c r="K36" s="259"/>
      <c r="L36" s="259"/>
      <c r="M36" s="259"/>
      <c r="N36" s="259"/>
    </row>
    <row r="37" spans="1:14">
      <c r="A37" s="259"/>
      <c r="B37" s="187"/>
      <c r="C37" s="187"/>
      <c r="D37" s="189"/>
      <c r="E37" s="187"/>
      <c r="F37" s="259"/>
      <c r="G37" s="169" t="s">
        <v>176</v>
      </c>
      <c r="H37" s="104"/>
      <c r="I37" s="95"/>
      <c r="J37" s="259"/>
      <c r="K37" s="259"/>
      <c r="L37" s="259"/>
      <c r="M37" s="259"/>
      <c r="N37" s="259"/>
    </row>
    <row r="38" spans="1:14" ht="15.95" thickBot="1">
      <c r="A38" s="259"/>
      <c r="B38" s="186" t="s">
        <v>177</v>
      </c>
      <c r="C38" s="186"/>
      <c r="D38" s="186"/>
      <c r="E38" s="186"/>
      <c r="F38" s="259"/>
      <c r="G38" s="172" t="s">
        <v>178</v>
      </c>
      <c r="H38" s="138">
        <f>H35-H36-H37</f>
        <v>793.64949159999992</v>
      </c>
      <c r="I38" s="201">
        <f>I35-I36-I37</f>
        <v>2277.0571316</v>
      </c>
      <c r="J38" s="259"/>
      <c r="K38" s="259"/>
      <c r="L38" s="259"/>
      <c r="M38" s="259"/>
      <c r="N38" s="259"/>
    </row>
    <row r="39" spans="1:14">
      <c r="A39" s="259"/>
      <c r="B39" s="142" t="s">
        <v>179</v>
      </c>
      <c r="C39" s="259"/>
      <c r="D39" s="259"/>
      <c r="E39" s="259"/>
      <c r="F39" s="259"/>
      <c r="G39" s="134" t="s">
        <v>180</v>
      </c>
      <c r="H39" s="159" t="s">
        <v>157</v>
      </c>
      <c r="I39" s="160" t="s">
        <v>158</v>
      </c>
      <c r="J39" s="66" t="s">
        <v>159</v>
      </c>
      <c r="K39" s="259"/>
      <c r="L39" s="259"/>
      <c r="M39" s="259"/>
      <c r="N39" s="259"/>
    </row>
    <row r="40" spans="1:14" ht="15.95" thickBot="1">
      <c r="A40" s="259"/>
      <c r="B40" s="259" t="s">
        <v>163</v>
      </c>
      <c r="C40" s="259" t="s">
        <v>164</v>
      </c>
      <c r="D40" s="259" t="s">
        <v>165</v>
      </c>
      <c r="E40" s="259"/>
      <c r="F40" s="259"/>
      <c r="G40" s="94" t="s">
        <v>134</v>
      </c>
      <c r="H40" s="161">
        <f>D16</f>
        <v>12069</v>
      </c>
      <c r="I40" s="162">
        <f>D16</f>
        <v>12069</v>
      </c>
      <c r="J40" s="259"/>
      <c r="K40" s="259"/>
      <c r="L40" s="259"/>
      <c r="M40" s="259"/>
      <c r="N40" s="259"/>
    </row>
    <row r="41" spans="1:14" ht="17.100000000000001" thickTop="1" thickBot="1">
      <c r="A41" s="259"/>
      <c r="B41" s="143">
        <v>0</v>
      </c>
      <c r="C41" s="143">
        <v>48535</v>
      </c>
      <c r="D41" s="146">
        <v>0.15</v>
      </c>
      <c r="E41" s="259"/>
      <c r="F41" s="259"/>
      <c r="G41" s="94" t="s">
        <v>160</v>
      </c>
      <c r="H41" s="163">
        <f>C8</f>
        <v>554.99080000000004</v>
      </c>
      <c r="I41" s="164">
        <f>D8</f>
        <v>554.99080000000004</v>
      </c>
      <c r="J41" s="259"/>
      <c r="K41" s="259"/>
      <c r="L41" s="259"/>
      <c r="M41" s="259"/>
      <c r="N41" s="259"/>
    </row>
    <row r="42" spans="1:14" ht="17.100000000000001" thickTop="1" thickBot="1">
      <c r="A42" s="259"/>
      <c r="B42" s="144">
        <v>48535</v>
      </c>
      <c r="C42" s="144">
        <v>97069</v>
      </c>
      <c r="D42" s="150">
        <v>0.20499999999999999</v>
      </c>
      <c r="E42" s="259"/>
      <c r="F42" s="259"/>
      <c r="G42" s="94" t="s">
        <v>162</v>
      </c>
      <c r="H42" s="163">
        <f>C13</f>
        <v>1660.365</v>
      </c>
      <c r="I42" s="164">
        <f>D13</f>
        <v>1660.365</v>
      </c>
      <c r="J42" s="199"/>
      <c r="K42" s="259"/>
      <c r="L42" s="259"/>
      <c r="M42" s="259"/>
      <c r="N42" s="259"/>
    </row>
    <row r="43" spans="1:14" ht="17.100000000000001" thickTop="1" thickBot="1">
      <c r="A43" s="259"/>
      <c r="B43" s="144">
        <v>97069</v>
      </c>
      <c r="C43" s="144">
        <v>150473</v>
      </c>
      <c r="D43" s="150">
        <v>0.26</v>
      </c>
      <c r="E43" s="199"/>
      <c r="F43" s="259"/>
      <c r="G43" s="94" t="s">
        <v>181</v>
      </c>
      <c r="H43" s="165">
        <f>D22</f>
        <v>1222</v>
      </c>
      <c r="I43" s="166">
        <f>D22</f>
        <v>1222</v>
      </c>
      <c r="J43" s="259"/>
      <c r="K43" s="259"/>
      <c r="L43" s="259"/>
      <c r="M43" s="259"/>
      <c r="N43" s="259"/>
    </row>
    <row r="44" spans="1:14" ht="17.100000000000001" thickTop="1" thickBot="1">
      <c r="A44" s="259"/>
      <c r="B44" s="144">
        <v>150473</v>
      </c>
      <c r="C44" s="144">
        <v>214368</v>
      </c>
      <c r="D44" s="150">
        <v>0.28999999999999998</v>
      </c>
      <c r="E44" s="259"/>
      <c r="F44" s="259"/>
      <c r="G44" s="94" t="s">
        <v>182</v>
      </c>
      <c r="H44" s="104"/>
      <c r="I44" s="167">
        <f>L49</f>
        <v>832</v>
      </c>
      <c r="J44" s="259"/>
      <c r="K44" s="259"/>
      <c r="L44" s="259"/>
      <c r="M44" s="259"/>
      <c r="N44" s="259"/>
    </row>
    <row r="45" spans="1:14" ht="15.95" thickTop="1">
      <c r="A45" s="259"/>
      <c r="B45" s="144">
        <v>214368</v>
      </c>
      <c r="C45" s="144"/>
      <c r="D45" s="150">
        <v>0.33</v>
      </c>
      <c r="E45" s="259"/>
      <c r="F45" s="259"/>
      <c r="G45" s="94" t="s">
        <v>183</v>
      </c>
      <c r="H45" s="168">
        <f>'LW 2020 Income'!C11-'LW 2020 Income'!B40*D20</f>
        <v>1452.18</v>
      </c>
      <c r="I45" s="95"/>
      <c r="J45" s="259"/>
      <c r="K45" s="259"/>
      <c r="L45" s="259"/>
      <c r="M45" s="259"/>
      <c r="N45" s="259"/>
    </row>
    <row r="46" spans="1:14" s="183" customFormat="1">
      <c r="A46" s="259"/>
      <c r="B46" s="144"/>
      <c r="C46" s="144"/>
      <c r="D46" s="150"/>
      <c r="E46" s="259"/>
      <c r="F46" s="259"/>
      <c r="G46" s="94"/>
      <c r="H46" s="184"/>
      <c r="I46" s="149"/>
      <c r="J46" s="259"/>
      <c r="K46" s="259"/>
      <c r="L46" s="259"/>
      <c r="M46" s="259"/>
      <c r="N46" s="259"/>
    </row>
    <row r="47" spans="1:14">
      <c r="A47" s="259"/>
      <c r="B47" s="259"/>
      <c r="C47" s="259"/>
      <c r="D47" s="259"/>
      <c r="E47" s="259"/>
      <c r="F47" s="259"/>
      <c r="G47" s="94"/>
      <c r="H47" s="104"/>
      <c r="I47" s="95"/>
      <c r="J47" s="259"/>
      <c r="K47" s="276" t="s">
        <v>184</v>
      </c>
      <c r="L47" s="277"/>
      <c r="M47" s="259" t="s">
        <v>158</v>
      </c>
      <c r="N47" s="259"/>
    </row>
    <row r="48" spans="1:14" ht="15.95" thickBot="1">
      <c r="A48" s="259"/>
      <c r="B48" s="142" t="s">
        <v>185</v>
      </c>
      <c r="C48" s="259"/>
      <c r="D48" s="259"/>
      <c r="E48" s="259"/>
      <c r="F48" s="259"/>
      <c r="G48" s="169" t="s">
        <v>173</v>
      </c>
      <c r="H48" s="170">
        <f>'LW 2020 Income'!B40*$D$41</f>
        <v>3318.9</v>
      </c>
      <c r="I48" s="171">
        <f>'LW 2020 Income'!C40*$D$41</f>
        <v>5268.9</v>
      </c>
      <c r="J48" s="259"/>
      <c r="K48" s="10" t="s">
        <v>170</v>
      </c>
      <c r="L48" s="152">
        <f>'Family Expenses'!B33*2</f>
        <v>832</v>
      </c>
      <c r="M48" s="259"/>
      <c r="N48" s="259"/>
    </row>
    <row r="49" spans="1:14" ht="15.95" thickTop="1">
      <c r="A49" s="259"/>
      <c r="B49" s="259" t="s">
        <v>134</v>
      </c>
      <c r="C49" s="143">
        <v>3000</v>
      </c>
      <c r="D49" s="259"/>
      <c r="E49" s="259"/>
      <c r="F49" s="259"/>
      <c r="G49" s="169" t="s">
        <v>175</v>
      </c>
      <c r="H49" s="170">
        <f>(H40+H41+H42+H43+H45+H44)*$D$21</f>
        <v>2543.7803699999995</v>
      </c>
      <c r="I49" s="202">
        <f>SUM(I40:I47)*$D$21</f>
        <v>2450.7533699999999</v>
      </c>
      <c r="J49" s="259"/>
      <c r="K49" s="26" t="s">
        <v>17</v>
      </c>
      <c r="L49" s="153">
        <f>SUM(L48:L48)</f>
        <v>832</v>
      </c>
      <c r="M49" s="259"/>
      <c r="N49" s="259"/>
    </row>
    <row r="50" spans="1:14">
      <c r="A50" s="259"/>
      <c r="B50" s="259" t="s">
        <v>186</v>
      </c>
      <c r="C50" s="145">
        <v>0.26</v>
      </c>
      <c r="D50" s="259"/>
      <c r="E50" s="259"/>
      <c r="F50" s="259"/>
      <c r="G50" s="169" t="s">
        <v>176</v>
      </c>
      <c r="H50" s="168">
        <f>C59</f>
        <v>0</v>
      </c>
      <c r="I50" s="171">
        <f>C55</f>
        <v>0</v>
      </c>
      <c r="J50" s="259"/>
      <c r="K50" s="259"/>
      <c r="L50" s="259"/>
      <c r="M50" s="199"/>
      <c r="N50" s="259"/>
    </row>
    <row r="51" spans="1:14" ht="15.95" thickBot="1">
      <c r="A51" s="259"/>
      <c r="B51" s="259" t="s">
        <v>187</v>
      </c>
      <c r="C51" s="143">
        <v>2335</v>
      </c>
      <c r="D51" s="199"/>
      <c r="E51" s="259"/>
      <c r="F51" s="259"/>
      <c r="G51" s="172" t="s">
        <v>188</v>
      </c>
      <c r="H51" s="173">
        <f>H48-H49-H50</f>
        <v>775.1196300000006</v>
      </c>
      <c r="I51" s="174">
        <f>I48-I49-I50</f>
        <v>2818.1466299999997</v>
      </c>
      <c r="J51" s="259"/>
      <c r="K51" s="259"/>
      <c r="L51" s="259"/>
      <c r="M51" s="259"/>
      <c r="N51" s="259"/>
    </row>
    <row r="52" spans="1:14">
      <c r="A52" s="259"/>
      <c r="B52" s="259" t="s">
        <v>189</v>
      </c>
      <c r="C52" s="143">
        <v>36483</v>
      </c>
      <c r="D52" s="259"/>
      <c r="E52" s="259"/>
      <c r="F52" s="259"/>
      <c r="G52" s="259"/>
      <c r="H52" s="259"/>
      <c r="I52" s="259"/>
      <c r="J52" s="259"/>
      <c r="K52" s="259"/>
      <c r="L52" s="259"/>
      <c r="M52" s="259"/>
      <c r="N52" s="259"/>
    </row>
    <row r="53" spans="1:14">
      <c r="A53" s="259"/>
      <c r="B53" s="259" t="s">
        <v>190</v>
      </c>
      <c r="C53" s="143">
        <v>17025</v>
      </c>
      <c r="D53" s="259"/>
      <c r="E53" s="259"/>
      <c r="F53" s="259"/>
      <c r="G53" s="259"/>
      <c r="H53" s="259"/>
      <c r="I53" s="259"/>
      <c r="J53" s="259"/>
      <c r="K53" s="259"/>
      <c r="L53" s="259"/>
      <c r="M53" s="259"/>
      <c r="N53" s="259"/>
    </row>
    <row r="54" spans="1:14">
      <c r="A54" s="259"/>
      <c r="B54" s="259" t="s">
        <v>191</v>
      </c>
      <c r="C54" s="145">
        <v>0.12</v>
      </c>
      <c r="D54" s="259"/>
      <c r="E54" s="259"/>
      <c r="F54" s="259"/>
      <c r="G54" s="259"/>
      <c r="H54" s="259"/>
      <c r="I54" s="259"/>
      <c r="J54" s="259"/>
      <c r="K54" s="259"/>
      <c r="L54" s="259"/>
      <c r="M54" s="259"/>
      <c r="N54" s="259"/>
    </row>
    <row r="55" spans="1:14">
      <c r="A55" s="259"/>
      <c r="B55" s="259" t="s">
        <v>192</v>
      </c>
      <c r="C55" s="239">
        <f>IF('LW 2020 Income'!D38&lt;C52,(MIN(C50*('LW 2020 Income'!D38-C49),C49)-C54*('LW 2020 Income'!D40-C53)),0)</f>
        <v>0</v>
      </c>
      <c r="D55" s="259" t="s">
        <v>158</v>
      </c>
      <c r="E55" s="259" t="s">
        <v>193</v>
      </c>
      <c r="F55" s="259"/>
      <c r="G55" s="259"/>
      <c r="H55" s="259"/>
      <c r="I55" s="259"/>
      <c r="J55" s="259"/>
      <c r="K55" s="259"/>
      <c r="L55" s="259"/>
      <c r="M55" s="259"/>
      <c r="N55" s="259"/>
    </row>
    <row r="56" spans="1:14">
      <c r="A56" s="259"/>
      <c r="B56" s="190" t="s">
        <v>194</v>
      </c>
      <c r="C56" s="259"/>
      <c r="D56" s="259"/>
      <c r="E56" s="259"/>
      <c r="F56" s="259"/>
      <c r="G56" s="259"/>
      <c r="H56" s="259"/>
      <c r="I56" s="259"/>
      <c r="J56" s="259"/>
      <c r="K56" s="259"/>
      <c r="L56" s="259"/>
      <c r="M56" s="259"/>
      <c r="N56" s="259"/>
    </row>
    <row r="57" spans="1:14" s="194" customFormat="1">
      <c r="A57" s="259"/>
      <c r="B57" s="259"/>
      <c r="C57" s="259"/>
      <c r="D57" s="259"/>
      <c r="E57" s="259"/>
      <c r="F57" s="259"/>
      <c r="G57" s="259"/>
      <c r="H57" s="259"/>
      <c r="I57" s="259"/>
      <c r="J57" s="259"/>
      <c r="K57" s="259"/>
      <c r="L57" s="259"/>
      <c r="M57" s="259"/>
      <c r="N57" s="259"/>
    </row>
    <row r="58" spans="1:14">
      <c r="A58" s="259"/>
      <c r="B58" s="151" t="s">
        <v>195</v>
      </c>
      <c r="C58" s="259"/>
      <c r="D58" s="259"/>
      <c r="E58" s="259"/>
      <c r="F58" s="259"/>
      <c r="G58" s="259"/>
      <c r="H58" s="259"/>
      <c r="I58" s="259"/>
      <c r="J58" s="259"/>
      <c r="K58" s="259"/>
      <c r="L58" s="259"/>
      <c r="M58" s="259"/>
      <c r="N58" s="259"/>
    </row>
    <row r="59" spans="1:14">
      <c r="A59" s="259"/>
      <c r="B59" s="158" t="s">
        <v>196</v>
      </c>
      <c r="C59" s="149">
        <v>0</v>
      </c>
      <c r="D59" s="259" t="s">
        <v>157</v>
      </c>
      <c r="E59" s="259" t="s">
        <v>193</v>
      </c>
      <c r="F59" s="259"/>
      <c r="G59" s="278" t="s">
        <v>197</v>
      </c>
      <c r="H59" s="279"/>
      <c r="I59" s="259"/>
      <c r="J59" s="259"/>
      <c r="K59" s="259"/>
      <c r="L59" s="259"/>
      <c r="M59" s="259"/>
      <c r="N59" s="259"/>
    </row>
    <row r="60" spans="1:14">
      <c r="A60" s="259"/>
      <c r="B60" s="199"/>
      <c r="C60" s="259"/>
      <c r="D60" s="259"/>
      <c r="E60" s="259"/>
      <c r="F60" s="259"/>
      <c r="G60" s="78" t="s">
        <v>198</v>
      </c>
      <c r="H60" s="41">
        <v>8000</v>
      </c>
      <c r="I60" s="259"/>
      <c r="J60" s="259"/>
      <c r="K60" s="259"/>
      <c r="L60" s="259"/>
      <c r="M60" s="259"/>
      <c r="N60" s="259"/>
    </row>
    <row r="61" spans="1:14">
      <c r="A61" s="259"/>
      <c r="B61" s="259" t="s">
        <v>199</v>
      </c>
      <c r="C61" s="259"/>
      <c r="D61" s="259"/>
      <c r="E61" s="259"/>
      <c r="F61" s="259"/>
      <c r="G61" s="78" t="s">
        <v>200</v>
      </c>
      <c r="H61" s="35">
        <v>5000</v>
      </c>
      <c r="I61" s="259"/>
      <c r="J61" s="259"/>
      <c r="K61" s="259"/>
      <c r="L61" s="259"/>
      <c r="M61" s="259"/>
      <c r="N61" s="259"/>
    </row>
    <row r="62" spans="1:14">
      <c r="A62" s="259"/>
      <c r="B62" s="259" t="s">
        <v>201</v>
      </c>
      <c r="C62" s="259"/>
      <c r="D62" s="259"/>
      <c r="E62" s="259"/>
      <c r="F62" s="259"/>
      <c r="G62" s="79" t="s">
        <v>17</v>
      </c>
      <c r="H62" s="40">
        <f>SUM(H60:H61)</f>
        <v>13000</v>
      </c>
      <c r="I62" s="259"/>
      <c r="J62" s="259"/>
      <c r="K62" s="259"/>
      <c r="L62" s="259"/>
      <c r="M62" s="259"/>
      <c r="N62" s="259"/>
    </row>
    <row r="63" spans="1:14">
      <c r="A63" s="259"/>
      <c r="B63" s="259"/>
      <c r="C63" s="259"/>
      <c r="D63" s="259"/>
      <c r="E63" s="259"/>
      <c r="F63" s="259"/>
      <c r="G63" s="259"/>
      <c r="H63" s="259"/>
      <c r="I63" s="259"/>
      <c r="J63" s="259"/>
      <c r="K63" s="259"/>
      <c r="L63" s="259"/>
      <c r="M63" s="259"/>
      <c r="N63" s="259"/>
    </row>
    <row r="64" spans="1:14">
      <c r="A64" s="259"/>
      <c r="B64" s="38" t="s">
        <v>202</v>
      </c>
      <c r="C64" s="259"/>
      <c r="D64" s="259"/>
      <c r="E64" s="259"/>
      <c r="F64" s="259"/>
      <c r="G64" s="259"/>
      <c r="H64" s="259"/>
      <c r="I64" s="259"/>
      <c r="J64" s="259"/>
      <c r="K64" s="259"/>
      <c r="L64" s="259"/>
      <c r="M64" s="259"/>
      <c r="N64" s="259"/>
    </row>
    <row r="65" spans="2:6">
      <c r="B65" s="66" t="s">
        <v>203</v>
      </c>
      <c r="C65" s="259"/>
      <c r="D65" s="259"/>
      <c r="E65" s="190" t="s">
        <v>204</v>
      </c>
      <c r="F65" s="259"/>
    </row>
    <row r="66" spans="2:6">
      <c r="B66" s="66"/>
      <c r="C66" s="259"/>
      <c r="D66" s="259"/>
      <c r="E66" s="259"/>
      <c r="F66" s="259"/>
    </row>
    <row r="67" spans="2:6">
      <c r="B67" s="66" t="s">
        <v>205</v>
      </c>
      <c r="C67" s="259"/>
      <c r="D67" s="259"/>
      <c r="E67" s="190" t="s">
        <v>206</v>
      </c>
      <c r="F67" s="259"/>
    </row>
    <row r="68" spans="2:6">
      <c r="B68" s="66" t="s">
        <v>207</v>
      </c>
      <c r="C68" s="259"/>
      <c r="D68" s="259"/>
      <c r="E68" s="259"/>
      <c r="F68" s="259"/>
    </row>
    <row r="69" spans="2:6">
      <c r="B69" s="66"/>
      <c r="C69" s="259"/>
      <c r="D69" s="259"/>
      <c r="E69" s="259"/>
      <c r="F69" s="259"/>
    </row>
    <row r="70" spans="2:6">
      <c r="B70" s="66" t="s">
        <v>208</v>
      </c>
      <c r="C70" s="259"/>
      <c r="D70" s="259"/>
      <c r="E70" s="190" t="s">
        <v>209</v>
      </c>
      <c r="F70" s="259"/>
    </row>
    <row r="71" spans="2:6">
      <c r="B71" s="66" t="s">
        <v>210</v>
      </c>
      <c r="C71" s="259"/>
      <c r="D71" s="259"/>
      <c r="E71" s="259"/>
      <c r="F71" s="259"/>
    </row>
    <row r="72" spans="2:6">
      <c r="B72" s="66"/>
      <c r="C72" s="259"/>
      <c r="D72" s="259"/>
      <c r="E72" s="259"/>
      <c r="F72" s="259"/>
    </row>
    <row r="73" spans="2:6">
      <c r="B73" s="66" t="s">
        <v>25</v>
      </c>
      <c r="C73" s="259"/>
      <c r="D73" s="259"/>
      <c r="E73" s="190" t="s">
        <v>211</v>
      </c>
      <c r="F73" s="259"/>
    </row>
    <row r="74" spans="2:6">
      <c r="B74" s="259"/>
      <c r="C74" s="259"/>
      <c r="D74" s="259"/>
      <c r="E74" s="190" t="s">
        <v>212</v>
      </c>
      <c r="F74" s="259"/>
    </row>
    <row r="75" spans="2:6">
      <c r="B75" s="259"/>
      <c r="C75" s="259"/>
      <c r="D75" s="259"/>
      <c r="E75" s="259"/>
      <c r="F75" s="259"/>
    </row>
  </sheetData>
  <mergeCells count="3">
    <mergeCell ref="K32:L32"/>
    <mergeCell ref="K47:L47"/>
    <mergeCell ref="G59:H59"/>
  </mergeCells>
  <hyperlinks>
    <hyperlink ref="B56" r:id="rId1" xr:uid="{EEF07E62-7840-3044-8D1E-D8467BB5C43A}"/>
    <hyperlink ref="E67" r:id="rId2" xr:uid="{2B981768-A789-7742-A07D-F964E91025FE}"/>
    <hyperlink ref="E65" r:id="rId3" xr:uid="{776C4091-3CA1-474B-A2C3-767BB3A96F44}"/>
    <hyperlink ref="E73" r:id="rId4" xr:uid="{004B1680-BFF5-414C-8A20-A69EC816BB43}"/>
    <hyperlink ref="E74" r:id="rId5" xr:uid="{FAB5DAC7-B716-174E-B772-7C2BD0FFE7FE}"/>
    <hyperlink ref="E70" r:id="rId6" xr:uid="{642A020C-7D56-8A41-A869-A7BA856B2C50}"/>
  </hyperlinks>
  <pageMargins left="0.7" right="0.7" top="0.75" bottom="0.75" header="0.3" footer="0.3"/>
  <pageSetup orientation="portrait" horizontalDpi="0" verticalDpi="0" r:id="rId7"/>
  <legacy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tabSelected="1" workbookViewId="0">
      <selection activeCell="B28" sqref="B28"/>
    </sheetView>
  </sheetViews>
  <sheetFormatPr defaultColWidth="8.85546875" defaultRowHeight="15"/>
  <cols>
    <col min="1" max="1" width="33.140625" customWidth="1"/>
    <col min="2" max="2" width="27.42578125" customWidth="1"/>
    <col min="8" max="8" width="8.85546875" style="37"/>
    <col min="10" max="10" width="19.140625" customWidth="1"/>
    <col min="11" max="11" width="12.7109375" customWidth="1"/>
    <col min="13" max="13" width="12.140625" customWidth="1"/>
  </cols>
  <sheetData>
    <row r="1" spans="1:14">
      <c r="A1" s="259" t="s">
        <v>213</v>
      </c>
      <c r="B1" s="259"/>
      <c r="C1" s="259"/>
      <c r="D1" s="259"/>
      <c r="E1" s="259"/>
      <c r="F1" s="259"/>
      <c r="G1" s="259"/>
      <c r="H1" s="259"/>
      <c r="I1" s="259"/>
      <c r="J1" s="259"/>
      <c r="K1" s="259"/>
      <c r="L1" s="259"/>
      <c r="M1" s="259"/>
      <c r="N1" s="259"/>
    </row>
    <row r="2" spans="1:14">
      <c r="A2" s="259" t="s">
        <v>58</v>
      </c>
      <c r="B2" s="259"/>
      <c r="C2" s="259"/>
      <c r="D2" s="259"/>
      <c r="E2" s="259"/>
      <c r="F2" s="259"/>
      <c r="G2" s="259"/>
      <c r="H2" s="259"/>
      <c r="I2" s="259"/>
      <c r="J2" s="259"/>
      <c r="K2" s="259"/>
      <c r="L2" s="259"/>
      <c r="M2" s="259"/>
      <c r="N2" s="259"/>
    </row>
    <row r="3" spans="1:14">
      <c r="A3" s="259" t="s">
        <v>214</v>
      </c>
      <c r="B3" s="259"/>
      <c r="C3" s="259"/>
      <c r="D3" s="259"/>
      <c r="E3" s="259"/>
      <c r="F3" s="259"/>
      <c r="G3" s="259"/>
      <c r="H3" s="259"/>
      <c r="I3" s="259"/>
      <c r="J3" s="259"/>
      <c r="K3" s="259"/>
      <c r="L3" s="259"/>
      <c r="M3" s="259"/>
      <c r="N3" s="259"/>
    </row>
    <row r="4" spans="1:14">
      <c r="A4" s="259" t="s">
        <v>215</v>
      </c>
      <c r="B4" s="259"/>
      <c r="C4" s="259"/>
      <c r="D4" s="259"/>
      <c r="E4" s="259"/>
      <c r="F4" s="259"/>
      <c r="G4" s="259"/>
      <c r="H4" s="259"/>
      <c r="I4" s="259"/>
      <c r="J4" s="259"/>
      <c r="K4" s="259"/>
      <c r="L4" s="259"/>
      <c r="M4" s="259"/>
      <c r="N4" s="259"/>
    </row>
    <row r="5" spans="1:14">
      <c r="A5" s="259"/>
      <c r="B5" s="259"/>
      <c r="C5" s="259"/>
      <c r="D5" s="259"/>
      <c r="E5" s="259"/>
      <c r="F5" s="259"/>
      <c r="G5" s="259"/>
      <c r="H5" s="259"/>
      <c r="I5" s="259"/>
      <c r="J5" s="259"/>
      <c r="K5" s="259"/>
      <c r="L5" s="259"/>
      <c r="M5" s="259"/>
      <c r="N5" s="259"/>
    </row>
    <row r="6" spans="1:14">
      <c r="A6" s="259"/>
      <c r="B6" s="259" t="s">
        <v>216</v>
      </c>
      <c r="C6" s="259"/>
      <c r="D6" s="259"/>
      <c r="E6" s="259"/>
      <c r="F6" s="259"/>
      <c r="G6" s="259" t="s">
        <v>217</v>
      </c>
      <c r="H6" s="259"/>
      <c r="I6" s="259"/>
      <c r="J6" s="259"/>
      <c r="K6" s="259"/>
      <c r="L6" s="259"/>
      <c r="M6" s="259"/>
      <c r="N6" s="259"/>
    </row>
    <row r="7" spans="1:14">
      <c r="A7" s="259" t="s">
        <v>218</v>
      </c>
      <c r="B7" s="259">
        <v>2015</v>
      </c>
      <c r="C7" s="259">
        <v>2016</v>
      </c>
      <c r="D7" s="259">
        <v>2017</v>
      </c>
      <c r="E7" s="259">
        <v>2018</v>
      </c>
      <c r="F7" s="259">
        <v>2019</v>
      </c>
      <c r="G7" s="259">
        <v>2015</v>
      </c>
      <c r="H7" s="259">
        <v>2016</v>
      </c>
      <c r="I7" s="259">
        <v>2017</v>
      </c>
      <c r="J7" s="259">
        <v>2018</v>
      </c>
      <c r="K7" s="259">
        <v>2019</v>
      </c>
      <c r="L7" s="259"/>
      <c r="M7" s="259"/>
      <c r="N7" s="259"/>
    </row>
    <row r="8" spans="1:14">
      <c r="A8" s="259"/>
      <c r="B8" s="259" t="s">
        <v>219</v>
      </c>
      <c r="C8" s="259"/>
      <c r="D8" s="259"/>
      <c r="E8" s="259"/>
      <c r="F8" s="259"/>
      <c r="G8" s="259"/>
      <c r="H8" s="259"/>
      <c r="I8" s="259"/>
      <c r="J8" s="259"/>
      <c r="K8" s="259"/>
      <c r="L8" s="259"/>
      <c r="M8" s="259"/>
      <c r="N8" s="259"/>
    </row>
    <row r="9" spans="1:14">
      <c r="A9" s="259" t="s">
        <v>220</v>
      </c>
      <c r="B9" s="259">
        <v>129.30000000000001</v>
      </c>
      <c r="C9" s="259">
        <v>130.80000000000001</v>
      </c>
      <c r="D9" s="259">
        <v>133.19999999999999</v>
      </c>
      <c r="E9" s="259">
        <v>136.30000000000001</v>
      </c>
      <c r="F9" s="259">
        <v>137.9</v>
      </c>
      <c r="G9" s="259">
        <v>128.80000000000001</v>
      </c>
      <c r="H9" s="259">
        <v>130.30000000000001</v>
      </c>
      <c r="I9" s="259">
        <v>132.5</v>
      </c>
      <c r="J9" s="259">
        <v>135.69999999999999</v>
      </c>
      <c r="K9" s="259">
        <v>137.19999999999999</v>
      </c>
      <c r="L9" s="259"/>
      <c r="M9" s="185"/>
      <c r="N9" s="185"/>
    </row>
    <row r="10" spans="1:14" s="37" customFormat="1">
      <c r="A10" s="259" t="s">
        <v>221</v>
      </c>
      <c r="B10" s="259">
        <v>146.4</v>
      </c>
      <c r="C10" s="259">
        <v>150</v>
      </c>
      <c r="D10" s="259">
        <v>146.80000000000001</v>
      </c>
      <c r="E10" s="259">
        <v>147.6</v>
      </c>
      <c r="F10" s="259">
        <v>152.9</v>
      </c>
      <c r="G10" s="259" t="s">
        <v>222</v>
      </c>
      <c r="H10" s="259" t="s">
        <v>222</v>
      </c>
      <c r="I10" s="259" t="s">
        <v>222</v>
      </c>
      <c r="J10" s="259" t="s">
        <v>222</v>
      </c>
      <c r="K10" s="259" t="s">
        <v>222</v>
      </c>
      <c r="L10" s="259"/>
      <c r="M10" s="259"/>
      <c r="N10" s="259"/>
    </row>
    <row r="11" spans="1:14" s="37" customFormat="1">
      <c r="A11" s="259" t="s">
        <v>223</v>
      </c>
      <c r="B11" s="259">
        <v>131.80000000000001</v>
      </c>
      <c r="C11" s="259">
        <v>131.4</v>
      </c>
      <c r="D11" s="259">
        <v>133.80000000000001</v>
      </c>
      <c r="E11" s="259">
        <v>138.19999999999999</v>
      </c>
      <c r="F11" s="259">
        <v>139</v>
      </c>
      <c r="G11" s="259">
        <v>128.9</v>
      </c>
      <c r="H11" s="259">
        <v>128.6</v>
      </c>
      <c r="I11" s="259">
        <v>130.69999999999999</v>
      </c>
      <c r="J11" s="259">
        <v>135</v>
      </c>
      <c r="K11" s="259">
        <v>135.69999999999999</v>
      </c>
      <c r="L11" s="259"/>
      <c r="M11" s="259"/>
      <c r="N11" s="259"/>
    </row>
    <row r="12" spans="1:14" s="37" customFormat="1">
      <c r="A12" s="259" t="s">
        <v>224</v>
      </c>
      <c r="B12" s="259">
        <v>116.2</v>
      </c>
      <c r="C12" s="259">
        <v>116.4</v>
      </c>
      <c r="D12" s="259">
        <v>116.9</v>
      </c>
      <c r="E12" s="259">
        <v>118.1</v>
      </c>
      <c r="F12" s="259">
        <v>120.4</v>
      </c>
      <c r="G12" s="259" t="s">
        <v>222</v>
      </c>
      <c r="H12" s="259" t="s">
        <v>222</v>
      </c>
      <c r="I12" s="259" t="s">
        <v>222</v>
      </c>
      <c r="J12" s="259" t="s">
        <v>222</v>
      </c>
      <c r="K12" s="259" t="s">
        <v>222</v>
      </c>
      <c r="L12" s="259"/>
      <c r="M12" s="259"/>
      <c r="N12" s="259"/>
    </row>
    <row r="13" spans="1:14">
      <c r="A13" s="259" t="s">
        <v>225</v>
      </c>
      <c r="B13" s="259">
        <v>125</v>
      </c>
      <c r="C13" s="259">
        <v>128.80000000000001</v>
      </c>
      <c r="D13" s="259">
        <v>129.6</v>
      </c>
      <c r="E13" s="259">
        <v>129.69999999999999</v>
      </c>
      <c r="F13" s="259">
        <v>129.9</v>
      </c>
      <c r="G13" s="259" t="s">
        <v>222</v>
      </c>
      <c r="H13" s="259" t="s">
        <v>222</v>
      </c>
      <c r="I13" s="259" t="s">
        <v>222</v>
      </c>
      <c r="J13" s="259" t="s">
        <v>222</v>
      </c>
      <c r="K13" s="259" t="s">
        <v>222</v>
      </c>
      <c r="L13" s="259"/>
      <c r="M13" s="259"/>
      <c r="N13" s="259"/>
    </row>
    <row r="14" spans="1:14" s="37" customFormat="1">
      <c r="A14" s="259" t="s">
        <v>226</v>
      </c>
      <c r="B14" s="259">
        <v>103.3</v>
      </c>
      <c r="C14" s="259">
        <v>101.5</v>
      </c>
      <c r="D14" s="259">
        <v>101.7</v>
      </c>
      <c r="E14" s="259">
        <v>102.6</v>
      </c>
      <c r="F14" s="259">
        <v>102.5</v>
      </c>
      <c r="G14" s="259" t="s">
        <v>222</v>
      </c>
      <c r="H14" s="259" t="s">
        <v>222</v>
      </c>
      <c r="I14" s="259" t="s">
        <v>222</v>
      </c>
      <c r="J14" s="259" t="s">
        <v>222</v>
      </c>
      <c r="K14" s="259" t="s">
        <v>222</v>
      </c>
      <c r="L14" s="259"/>
      <c r="M14" s="259"/>
      <c r="N14" s="259"/>
    </row>
    <row r="15" spans="1:14">
      <c r="A15" s="259" t="s">
        <v>10</v>
      </c>
      <c r="B15" s="259">
        <v>125.3</v>
      </c>
      <c r="C15" s="259">
        <v>126.3</v>
      </c>
      <c r="D15" s="259">
        <v>132.19999999999999</v>
      </c>
      <c r="E15" s="259">
        <v>138.6</v>
      </c>
      <c r="F15" s="259">
        <v>139.30000000000001</v>
      </c>
      <c r="G15" s="259" t="s">
        <v>222</v>
      </c>
      <c r="H15" s="259" t="s">
        <v>222</v>
      </c>
      <c r="I15" s="259" t="s">
        <v>222</v>
      </c>
      <c r="J15" s="259" t="s">
        <v>222</v>
      </c>
      <c r="K15" s="259" t="s">
        <v>222</v>
      </c>
      <c r="L15" s="259"/>
      <c r="M15" s="259"/>
      <c r="N15" s="259"/>
    </row>
    <row r="16" spans="1:14">
      <c r="A16" s="259" t="s">
        <v>227</v>
      </c>
      <c r="B16" s="259">
        <v>147.19999999999999</v>
      </c>
      <c r="C16" s="259">
        <v>144.30000000000001</v>
      </c>
      <c r="D16" s="259">
        <v>152.69999999999999</v>
      </c>
      <c r="E16" s="259">
        <v>162.1</v>
      </c>
      <c r="F16" s="259">
        <v>158.80000000000001</v>
      </c>
      <c r="G16" s="259" t="s">
        <v>222</v>
      </c>
      <c r="H16" s="259" t="s">
        <v>222</v>
      </c>
      <c r="I16" s="259" t="s">
        <v>222</v>
      </c>
      <c r="J16" s="259" t="s">
        <v>222</v>
      </c>
      <c r="K16" s="259" t="s">
        <v>222</v>
      </c>
      <c r="L16" s="259"/>
      <c r="M16" s="259"/>
      <c r="N16" s="259"/>
    </row>
    <row r="17" spans="1:14">
      <c r="A17" s="259"/>
      <c r="B17" s="259"/>
      <c r="C17" s="259"/>
      <c r="D17" s="259"/>
      <c r="E17" s="259"/>
      <c r="F17" s="259"/>
      <c r="G17" s="259"/>
      <c r="H17" s="259"/>
      <c r="I17" s="259"/>
      <c r="J17" s="259"/>
      <c r="K17" s="259"/>
      <c r="L17" s="259"/>
      <c r="M17" s="259"/>
      <c r="N17" s="259"/>
    </row>
    <row r="18" spans="1:14">
      <c r="A18" s="259" t="s">
        <v>228</v>
      </c>
      <c r="B18" s="259"/>
      <c r="C18" s="259"/>
      <c r="D18" s="259"/>
      <c r="E18" s="259"/>
      <c r="F18" s="259"/>
      <c r="G18" s="259"/>
      <c r="H18" s="259"/>
      <c r="I18" s="259"/>
      <c r="J18" s="259"/>
      <c r="K18" s="259"/>
      <c r="L18" s="259"/>
      <c r="M18" s="259"/>
      <c r="N18" s="259"/>
    </row>
    <row r="19" spans="1:14">
      <c r="A19" s="259" t="s">
        <v>222</v>
      </c>
      <c r="B19" s="259" t="s">
        <v>229</v>
      </c>
      <c r="C19" s="259"/>
      <c r="D19" s="259"/>
      <c r="E19" s="259"/>
      <c r="F19" s="259"/>
      <c r="G19" s="259"/>
      <c r="H19" s="259"/>
      <c r="I19" s="259"/>
      <c r="J19" s="259"/>
      <c r="K19" s="259"/>
      <c r="L19" s="259"/>
      <c r="M19" s="259"/>
      <c r="N19" s="259"/>
    </row>
    <row r="20" spans="1:14" s="194" customFormat="1">
      <c r="A20" s="259"/>
      <c r="B20" s="259"/>
      <c r="C20" s="259"/>
      <c r="D20" s="259"/>
      <c r="E20" s="259"/>
      <c r="F20" s="259"/>
      <c r="G20" s="259"/>
      <c r="H20" s="259"/>
      <c r="I20" s="259"/>
      <c r="J20" s="259"/>
      <c r="K20" s="259"/>
      <c r="L20" s="259"/>
      <c r="M20" s="259"/>
      <c r="N20" s="259"/>
    </row>
    <row r="21" spans="1:14">
      <c r="A21" s="259" t="s">
        <v>230</v>
      </c>
      <c r="B21" s="259"/>
      <c r="C21" s="259"/>
      <c r="D21" s="259"/>
      <c r="E21" s="259"/>
      <c r="F21" s="259"/>
      <c r="G21" s="259"/>
      <c r="H21" s="259"/>
      <c r="I21" s="259"/>
      <c r="J21" s="259"/>
      <c r="K21" s="259"/>
      <c r="L21" s="259"/>
      <c r="M21" s="259"/>
      <c r="N21" s="259"/>
    </row>
    <row r="22" spans="1:14">
      <c r="A22" s="259">
        <v>1</v>
      </c>
      <c r="B22" s="259" t="s">
        <v>231</v>
      </c>
      <c r="C22" s="259"/>
      <c r="D22" s="259"/>
      <c r="E22" s="259"/>
      <c r="F22" s="259"/>
      <c r="G22" s="259"/>
      <c r="H22" s="259"/>
      <c r="I22" s="259"/>
      <c r="J22" s="259"/>
      <c r="K22" s="259"/>
      <c r="L22" s="259"/>
      <c r="M22" s="259"/>
      <c r="N22" s="259"/>
    </row>
    <row r="23" spans="1:14">
      <c r="A23" s="259">
        <v>2</v>
      </c>
      <c r="B23" s="259" t="s">
        <v>232</v>
      </c>
      <c r="C23" s="259"/>
      <c r="D23" s="259"/>
      <c r="E23" s="259"/>
      <c r="F23" s="259"/>
      <c r="G23" s="259"/>
      <c r="H23" s="259"/>
      <c r="I23" s="259"/>
      <c r="J23" s="259"/>
      <c r="K23" s="259"/>
      <c r="L23" s="259"/>
      <c r="M23" s="259"/>
      <c r="N23" s="259"/>
    </row>
    <row r="24" spans="1:14">
      <c r="A24" s="259">
        <v>3</v>
      </c>
      <c r="B24" s="259" t="s">
        <v>233</v>
      </c>
      <c r="C24" s="259"/>
      <c r="D24" s="259"/>
      <c r="E24" s="259"/>
      <c r="F24" s="259"/>
      <c r="G24" s="259"/>
      <c r="H24" s="259"/>
      <c r="I24" s="259"/>
      <c r="J24" s="259"/>
      <c r="K24" s="259"/>
      <c r="L24" s="259"/>
      <c r="M24" s="259"/>
      <c r="N24" s="259"/>
    </row>
    <row r="25" spans="1:14">
      <c r="A25" s="259">
        <v>4</v>
      </c>
      <c r="B25" s="258" t="s">
        <v>234</v>
      </c>
      <c r="C25" s="259"/>
      <c r="D25" s="259"/>
      <c r="E25" s="259"/>
      <c r="F25" s="259"/>
      <c r="G25" s="259"/>
      <c r="H25" s="259"/>
      <c r="I25" s="259"/>
      <c r="J25" s="259"/>
      <c r="K25" s="259"/>
      <c r="L25" s="259"/>
      <c r="M25" s="259"/>
      <c r="N25" s="259"/>
    </row>
    <row r="26" spans="1:14">
      <c r="A26" s="259">
        <v>5</v>
      </c>
      <c r="B26" s="259" t="s">
        <v>235</v>
      </c>
      <c r="C26" s="259"/>
      <c r="D26" s="259"/>
      <c r="E26" s="259"/>
      <c r="F26" s="259"/>
      <c r="G26" s="259"/>
      <c r="H26" s="259"/>
      <c r="I26" s="259"/>
      <c r="J26" s="259"/>
      <c r="K26" s="259"/>
      <c r="L26" s="259"/>
      <c r="M26" s="259"/>
      <c r="N26" s="259"/>
    </row>
    <row r="27" spans="1:14">
      <c r="A27" s="259">
        <v>6</v>
      </c>
      <c r="B27" s="259" t="s">
        <v>236</v>
      </c>
      <c r="C27" s="259"/>
      <c r="D27" s="259"/>
      <c r="E27" s="259"/>
      <c r="F27" s="259"/>
      <c r="G27" s="259"/>
      <c r="H27" s="259"/>
      <c r="I27" s="259"/>
      <c r="J27" s="259"/>
      <c r="K27" s="259"/>
      <c r="L27" s="259"/>
      <c r="M27" s="259"/>
      <c r="N27" s="259"/>
    </row>
    <row r="28" spans="1:14">
      <c r="A28" s="259">
        <v>7</v>
      </c>
      <c r="B28" s="259" t="s">
        <v>237</v>
      </c>
      <c r="C28" s="259"/>
      <c r="D28" s="259"/>
      <c r="E28" s="259"/>
      <c r="F28" s="259"/>
      <c r="G28" s="259"/>
      <c r="H28" s="259"/>
      <c r="I28" s="259"/>
      <c r="J28" s="259"/>
      <c r="K28" s="259"/>
      <c r="L28" s="259"/>
      <c r="M28" s="259"/>
      <c r="N28" s="259"/>
    </row>
    <row r="29" spans="1:14">
      <c r="A29" s="259"/>
      <c r="B29" s="259"/>
      <c r="C29" s="259"/>
      <c r="D29" s="259"/>
      <c r="E29" s="259"/>
      <c r="F29" s="259"/>
      <c r="G29" s="259"/>
      <c r="H29" s="259"/>
      <c r="I29" s="259"/>
      <c r="J29" s="259"/>
      <c r="K29" s="259"/>
      <c r="L29" s="259"/>
      <c r="M29" s="259"/>
      <c r="N29" s="259"/>
    </row>
    <row r="30" spans="1:14">
      <c r="A30" s="259" t="s">
        <v>238</v>
      </c>
      <c r="B30" s="259"/>
      <c r="C30" s="259"/>
      <c r="D30" s="259"/>
      <c r="E30" s="259"/>
      <c r="F30" s="259"/>
      <c r="G30" s="259"/>
      <c r="H30" s="259"/>
      <c r="I30" s="259"/>
      <c r="J30" s="259"/>
      <c r="K30" s="259"/>
      <c r="L30" s="259"/>
      <c r="M30" s="259"/>
      <c r="N30" s="259"/>
    </row>
    <row r="31" spans="1:14">
      <c r="A31" s="259" t="s">
        <v>239</v>
      </c>
      <c r="B31" s="259"/>
      <c r="C31" s="259"/>
      <c r="D31" s="259"/>
      <c r="E31" s="259"/>
      <c r="F31" s="259"/>
      <c r="G31" s="259"/>
      <c r="H31" s="259"/>
      <c r="I31" s="259"/>
      <c r="J31" s="259"/>
      <c r="K31" s="259"/>
      <c r="L31" s="259"/>
      <c r="M31" s="259"/>
      <c r="N31" s="259"/>
    </row>
    <row r="32" spans="1:14">
      <c r="A32" s="259" t="s">
        <v>240</v>
      </c>
      <c r="B32" s="259"/>
      <c r="C32" s="259"/>
      <c r="D32" s="259"/>
      <c r="E32" s="259"/>
      <c r="F32" s="259"/>
      <c r="G32" s="259"/>
      <c r="H32" s="259"/>
      <c r="I32" s="259"/>
      <c r="J32" s="259"/>
      <c r="K32" s="259"/>
      <c r="L32" s="259"/>
      <c r="M32" s="259"/>
      <c r="N32" s="259"/>
    </row>
    <row r="33" spans="1:12">
      <c r="A33" s="259"/>
      <c r="B33" s="259"/>
      <c r="C33" s="259"/>
      <c r="D33" s="259"/>
      <c r="E33" s="259"/>
      <c r="F33" s="259"/>
      <c r="G33" s="259"/>
      <c r="H33" s="259"/>
      <c r="I33" s="259"/>
      <c r="J33" s="259"/>
      <c r="K33" s="259"/>
      <c r="L33" s="259"/>
    </row>
    <row r="34" spans="1:12">
      <c r="A34" s="259"/>
      <c r="B34" s="259"/>
      <c r="C34" s="259"/>
      <c r="D34" s="259"/>
      <c r="E34" s="259"/>
      <c r="F34" s="259"/>
      <c r="G34" s="259"/>
      <c r="H34" s="259"/>
      <c r="I34" s="259"/>
      <c r="J34" s="259"/>
      <c r="K34" s="259"/>
      <c r="L34" s="259"/>
    </row>
    <row r="35" spans="1:12">
      <c r="A35" s="259"/>
      <c r="B35" s="259"/>
      <c r="C35" s="259"/>
      <c r="D35" s="259"/>
      <c r="E35" s="259"/>
      <c r="F35" s="259"/>
      <c r="G35" s="259"/>
      <c r="H35" s="259"/>
      <c r="I35" s="259"/>
      <c r="J35" s="259"/>
      <c r="K35" s="259"/>
      <c r="L35" s="259"/>
    </row>
    <row r="36" spans="1:12">
      <c r="A36" s="259"/>
      <c r="B36" s="259"/>
      <c r="C36" s="259"/>
      <c r="D36" s="259"/>
      <c r="E36" s="259"/>
      <c r="F36" s="259"/>
      <c r="G36" s="259"/>
      <c r="H36" s="259"/>
      <c r="I36" s="259"/>
      <c r="J36" s="259"/>
      <c r="K36" s="259"/>
      <c r="L36" s="259"/>
    </row>
    <row r="37" spans="1:12">
      <c r="A37" s="190"/>
      <c r="B37" s="259"/>
      <c r="C37" s="259"/>
      <c r="D37" s="259"/>
      <c r="E37" s="259"/>
      <c r="F37" s="259"/>
      <c r="G37" s="259"/>
      <c r="H37" s="259"/>
      <c r="I37" s="259"/>
      <c r="J37" s="259"/>
      <c r="K37" s="259"/>
      <c r="L37" s="259"/>
    </row>
    <row r="38" spans="1:12">
      <c r="A38" s="259"/>
      <c r="B38" s="259"/>
      <c r="C38" s="259"/>
      <c r="D38" s="259"/>
      <c r="E38" s="259"/>
      <c r="F38" s="259"/>
      <c r="G38" s="259"/>
      <c r="H38" s="259"/>
      <c r="I38" s="259"/>
      <c r="J38" s="259"/>
      <c r="K38" s="259"/>
      <c r="L38" s="259"/>
    </row>
    <row r="39" spans="1:12">
      <c r="A39" s="259"/>
      <c r="B39" s="259"/>
      <c r="C39" s="259"/>
      <c r="D39" s="259"/>
      <c r="E39" s="259"/>
      <c r="F39" s="259"/>
      <c r="G39" s="259"/>
      <c r="H39" s="259"/>
      <c r="I39" s="259"/>
      <c r="J39" s="259"/>
      <c r="K39" s="259"/>
      <c r="L39" s="259"/>
    </row>
    <row r="40" spans="1:12">
      <c r="A40" s="259"/>
      <c r="B40" s="259"/>
      <c r="C40" s="259"/>
      <c r="D40" s="259"/>
      <c r="E40" s="259"/>
      <c r="F40" s="259"/>
      <c r="G40" s="259"/>
      <c r="H40" s="259"/>
      <c r="I40" s="259"/>
      <c r="J40" s="259"/>
      <c r="K40" s="259"/>
      <c r="L40" s="259"/>
    </row>
  </sheetData>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7"/>
  <sheetViews>
    <sheetView workbookViewId="0">
      <selection activeCell="A29" sqref="A29"/>
    </sheetView>
  </sheetViews>
  <sheetFormatPr defaultColWidth="8.85546875" defaultRowHeight="15"/>
  <cols>
    <col min="1" max="1" width="33.140625" customWidth="1"/>
    <col min="2" max="2" width="19.140625" customWidth="1"/>
    <col min="3" max="3" width="9.140625" style="37"/>
    <col min="4" max="4" width="14.85546875" customWidth="1"/>
    <col min="5" max="5" width="12.85546875" customWidth="1"/>
    <col min="6" max="6" width="15.140625" customWidth="1"/>
  </cols>
  <sheetData>
    <row r="1" spans="1:11">
      <c r="A1" s="259" t="s">
        <v>241</v>
      </c>
      <c r="B1" s="259"/>
      <c r="C1" s="259"/>
      <c r="D1" s="259"/>
      <c r="E1" s="259"/>
      <c r="F1" s="259"/>
      <c r="G1" s="259"/>
      <c r="H1" s="259"/>
      <c r="I1" s="259"/>
      <c r="J1" s="259"/>
      <c r="K1" s="259"/>
    </row>
    <row r="2" spans="1:11">
      <c r="A2" s="259" t="s">
        <v>58</v>
      </c>
      <c r="B2" s="259"/>
      <c r="C2" s="259"/>
      <c r="D2" s="259"/>
      <c r="E2" s="259"/>
      <c r="F2" s="259"/>
      <c r="G2" s="259"/>
      <c r="H2" s="259"/>
      <c r="I2" s="259"/>
      <c r="J2" s="259"/>
      <c r="K2" s="259"/>
    </row>
    <row r="3" spans="1:11">
      <c r="A3" s="259" t="s">
        <v>242</v>
      </c>
      <c r="B3" s="259"/>
      <c r="C3" s="259"/>
      <c r="D3" s="259"/>
      <c r="E3" s="259"/>
      <c r="F3" s="259"/>
      <c r="G3" s="259"/>
      <c r="H3" s="259"/>
      <c r="I3" s="259"/>
      <c r="J3" s="259"/>
      <c r="K3" s="259"/>
    </row>
    <row r="4" spans="1:11">
      <c r="A4" s="259" t="s">
        <v>243</v>
      </c>
      <c r="B4" s="259"/>
      <c r="C4" s="259"/>
      <c r="D4" s="259"/>
      <c r="E4" s="259"/>
      <c r="F4" s="259"/>
      <c r="G4" s="259"/>
      <c r="H4" s="259"/>
      <c r="I4" s="259"/>
      <c r="J4" s="259"/>
      <c r="K4" s="259"/>
    </row>
    <row r="5" spans="1:11">
      <c r="A5" s="259"/>
      <c r="B5" s="259"/>
      <c r="C5" s="259"/>
      <c r="D5" s="259"/>
      <c r="E5" s="259"/>
      <c r="F5" s="259"/>
      <c r="G5" s="259"/>
      <c r="H5" s="259"/>
      <c r="I5" s="259"/>
      <c r="J5" s="259"/>
      <c r="K5" s="259"/>
    </row>
    <row r="6" spans="1:11">
      <c r="A6" s="259"/>
      <c r="B6" s="259" t="s">
        <v>244</v>
      </c>
      <c r="C6" s="259"/>
      <c r="D6" s="259"/>
      <c r="E6" s="259"/>
      <c r="F6" s="259"/>
      <c r="G6" s="259"/>
      <c r="H6" s="259"/>
      <c r="I6" s="259"/>
      <c r="J6" s="259"/>
      <c r="K6" s="259"/>
    </row>
    <row r="7" spans="1:11">
      <c r="A7" s="259"/>
      <c r="B7" s="259" t="s">
        <v>245</v>
      </c>
      <c r="C7" s="259"/>
      <c r="D7" s="259"/>
      <c r="E7" s="259"/>
      <c r="F7" s="259"/>
      <c r="G7" s="259"/>
      <c r="H7" s="259"/>
      <c r="I7" s="259"/>
      <c r="J7" s="259"/>
      <c r="K7" s="259"/>
    </row>
    <row r="8" spans="1:11">
      <c r="A8" s="259"/>
      <c r="B8" s="259" t="s">
        <v>246</v>
      </c>
      <c r="C8" s="259" t="s">
        <v>7</v>
      </c>
      <c r="D8" s="259" t="s">
        <v>247</v>
      </c>
      <c r="E8" s="259" t="s">
        <v>10</v>
      </c>
      <c r="F8" s="259" t="s">
        <v>9</v>
      </c>
      <c r="G8" s="259" t="s">
        <v>248</v>
      </c>
      <c r="H8" s="259"/>
      <c r="I8" s="259"/>
      <c r="J8" s="259"/>
      <c r="K8" s="259"/>
    </row>
    <row r="9" spans="1:11">
      <c r="A9" s="259" t="s">
        <v>249</v>
      </c>
      <c r="B9" s="259">
        <v>2018</v>
      </c>
      <c r="C9" s="259">
        <v>2018</v>
      </c>
      <c r="D9" s="259">
        <v>2018</v>
      </c>
      <c r="E9" s="259">
        <v>2018</v>
      </c>
      <c r="F9" s="259">
        <v>2018</v>
      </c>
      <c r="G9" s="259">
        <v>2018</v>
      </c>
      <c r="H9" s="259"/>
      <c r="I9" s="259" t="s">
        <v>250</v>
      </c>
      <c r="J9" s="259"/>
      <c r="K9" s="259"/>
    </row>
    <row r="10" spans="1:11">
      <c r="A10" s="259" t="s">
        <v>251</v>
      </c>
      <c r="B10" s="31">
        <v>41520</v>
      </c>
      <c r="C10" s="31">
        <v>12470</v>
      </c>
      <c r="D10" s="31">
        <v>2227</v>
      </c>
      <c r="E10" s="31">
        <v>4308</v>
      </c>
      <c r="F10" s="31">
        <v>10436</v>
      </c>
      <c r="G10" s="31">
        <v>12079</v>
      </c>
      <c r="H10" s="259"/>
      <c r="I10" s="185">
        <f>B10/B12</f>
        <v>0.96099988427265359</v>
      </c>
      <c r="J10" s="259"/>
      <c r="K10" s="259">
        <f>20*96%</f>
        <v>19.2</v>
      </c>
    </row>
    <row r="11" spans="1:11">
      <c r="A11" s="259" t="s">
        <v>252</v>
      </c>
      <c r="B11" s="31">
        <v>42283</v>
      </c>
      <c r="C11" s="31">
        <v>12470</v>
      </c>
      <c r="D11" s="31">
        <v>2227</v>
      </c>
      <c r="E11" s="31">
        <v>4308</v>
      </c>
      <c r="F11" s="31">
        <v>11199</v>
      </c>
      <c r="G11" s="31">
        <v>12079</v>
      </c>
      <c r="H11" s="259"/>
      <c r="I11" s="185">
        <f>B11/B12</f>
        <v>0.97865987732901283</v>
      </c>
      <c r="J11" s="259"/>
      <c r="K11" s="259">
        <f>20*98%</f>
        <v>19.600000000000001</v>
      </c>
    </row>
    <row r="12" spans="1:11" s="194" customFormat="1">
      <c r="A12" s="259" t="s">
        <v>253</v>
      </c>
      <c r="B12" s="31">
        <v>43205</v>
      </c>
      <c r="C12" s="31">
        <v>12470</v>
      </c>
      <c r="D12" s="31">
        <v>2227</v>
      </c>
      <c r="E12" s="31">
        <v>3742</v>
      </c>
      <c r="F12" s="31">
        <v>12687</v>
      </c>
      <c r="G12" s="31">
        <v>12079</v>
      </c>
      <c r="H12" s="259"/>
      <c r="I12" s="259"/>
      <c r="J12" s="259"/>
      <c r="K12" s="259"/>
    </row>
    <row r="13" spans="1:11">
      <c r="A13" s="259"/>
      <c r="B13" s="259"/>
      <c r="C13" s="259"/>
      <c r="D13" s="259"/>
      <c r="E13" s="259"/>
      <c r="F13" s="259"/>
      <c r="G13" s="259"/>
      <c r="H13" s="259"/>
      <c r="I13" s="259"/>
      <c r="J13" s="259"/>
      <c r="K13" s="259"/>
    </row>
    <row r="14" spans="1:11">
      <c r="A14" s="259" t="s">
        <v>228</v>
      </c>
      <c r="B14" s="259"/>
      <c r="C14" s="259"/>
      <c r="D14" s="259"/>
      <c r="E14" s="259"/>
      <c r="F14" s="259"/>
      <c r="G14" s="259"/>
      <c r="H14" s="259"/>
      <c r="I14" s="259"/>
      <c r="J14" s="259"/>
      <c r="K14" s="259"/>
    </row>
    <row r="15" spans="1:11">
      <c r="A15" s="259"/>
      <c r="B15" s="259"/>
      <c r="C15" s="259"/>
      <c r="D15" s="259"/>
      <c r="E15" s="259"/>
      <c r="F15" s="259"/>
      <c r="G15" s="259"/>
      <c r="H15" s="259"/>
      <c r="I15" s="259"/>
      <c r="J15" s="259"/>
      <c r="K15" s="259"/>
    </row>
    <row r="16" spans="1:11">
      <c r="A16" s="259" t="s">
        <v>230</v>
      </c>
      <c r="B16" s="259"/>
      <c r="C16" s="259"/>
      <c r="D16" s="259"/>
      <c r="E16" s="259"/>
      <c r="F16" s="259"/>
      <c r="G16" s="259"/>
      <c r="H16" s="259"/>
      <c r="I16" s="259"/>
      <c r="J16" s="259"/>
      <c r="K16" s="259"/>
    </row>
    <row r="17" spans="1:8">
      <c r="A17" s="259">
        <v>1</v>
      </c>
      <c r="B17" s="259" t="s">
        <v>254</v>
      </c>
      <c r="C17" s="259"/>
      <c r="D17" s="259"/>
      <c r="E17" s="259"/>
      <c r="F17" s="259"/>
      <c r="G17" s="259"/>
      <c r="H17" s="259"/>
    </row>
    <row r="18" spans="1:8">
      <c r="A18" s="259">
        <v>2</v>
      </c>
      <c r="B18" s="259" t="s">
        <v>255</v>
      </c>
      <c r="C18" s="259"/>
      <c r="D18" s="259"/>
      <c r="E18" s="259"/>
      <c r="F18" s="259"/>
      <c r="G18" s="259"/>
      <c r="H18" s="259"/>
    </row>
    <row r="19" spans="1:8" s="194" customFormat="1">
      <c r="A19" s="259">
        <v>3</v>
      </c>
      <c r="B19" s="259" t="s">
        <v>256</v>
      </c>
      <c r="C19" s="259"/>
      <c r="D19" s="259"/>
      <c r="E19" s="259"/>
      <c r="F19" s="259"/>
      <c r="G19" s="259"/>
      <c r="H19" s="259"/>
    </row>
    <row r="20" spans="1:8">
      <c r="A20" s="259">
        <v>4</v>
      </c>
      <c r="B20" s="259" t="s">
        <v>257</v>
      </c>
      <c r="C20" s="259"/>
      <c r="D20" s="259"/>
      <c r="E20" s="259"/>
      <c r="F20" s="259"/>
      <c r="G20" s="259"/>
      <c r="H20" s="259"/>
    </row>
    <row r="21" spans="1:8">
      <c r="A21" s="259"/>
      <c r="B21" s="259"/>
      <c r="C21" s="259"/>
      <c r="D21" s="259"/>
      <c r="E21" s="259"/>
      <c r="F21" s="259"/>
      <c r="G21" s="259"/>
      <c r="H21" s="259"/>
    </row>
    <row r="22" spans="1:8">
      <c r="A22" s="259" t="s">
        <v>258</v>
      </c>
      <c r="B22" s="259"/>
      <c r="C22" s="259"/>
      <c r="D22" s="259"/>
      <c r="E22" s="259"/>
      <c r="F22" s="259"/>
      <c r="G22" s="259"/>
      <c r="H22" s="259"/>
    </row>
    <row r="23" spans="1:8">
      <c r="A23" s="259" t="s">
        <v>259</v>
      </c>
      <c r="B23" s="259"/>
      <c r="C23" s="259"/>
      <c r="D23" s="259"/>
      <c r="E23" s="259"/>
      <c r="F23" s="259"/>
      <c r="G23" s="259"/>
      <c r="H23" s="259"/>
    </row>
    <row r="24" spans="1:8">
      <c r="A24" s="259" t="s">
        <v>260</v>
      </c>
      <c r="B24" s="259"/>
      <c r="C24" s="259"/>
      <c r="D24" s="259"/>
      <c r="E24" s="259"/>
      <c r="F24" s="259"/>
      <c r="G24" s="259"/>
      <c r="H24" s="259"/>
    </row>
    <row r="25" spans="1:8" s="240" customFormat="1">
      <c r="A25" s="259"/>
      <c r="B25" s="259"/>
      <c r="C25" s="259"/>
      <c r="D25" s="259"/>
      <c r="E25" s="259"/>
      <c r="F25" s="259"/>
      <c r="G25" s="259"/>
      <c r="H25" s="259"/>
    </row>
    <row r="26" spans="1:8">
      <c r="A26" s="38"/>
      <c r="B26" s="259"/>
      <c r="C26" s="259"/>
      <c r="D26" s="259"/>
      <c r="E26" s="259"/>
      <c r="F26" s="259"/>
      <c r="G26" s="259"/>
      <c r="H26" s="259"/>
    </row>
    <row r="27" spans="1:8" s="194" customFormat="1">
      <c r="A27" s="259"/>
      <c r="B27" s="259"/>
      <c r="C27" s="259"/>
      <c r="D27" s="65"/>
      <c r="E27" s="259"/>
      <c r="F27" s="259"/>
      <c r="G27" s="259"/>
      <c r="H27" s="259"/>
    </row>
    <row r="28" spans="1:8" s="37" customFormat="1">
      <c r="A28" s="259"/>
      <c r="B28" s="259"/>
      <c r="C28" s="259"/>
      <c r="D28" s="65"/>
      <c r="E28" s="31"/>
      <c r="F28" s="259"/>
      <c r="G28" s="259"/>
      <c r="H28" s="259"/>
    </row>
    <row r="29" spans="1:8" s="240" customFormat="1">
      <c r="A29" s="259"/>
      <c r="B29" s="259"/>
      <c r="C29" s="259"/>
      <c r="D29" s="65"/>
      <c r="E29" s="31"/>
      <c r="F29" s="259"/>
      <c r="G29" s="259"/>
      <c r="H29" s="259"/>
    </row>
    <row r="30" spans="1:8">
      <c r="A30" s="259"/>
      <c r="B30" s="259"/>
      <c r="C30" s="185"/>
      <c r="D30" s="65"/>
      <c r="E30" s="31"/>
      <c r="F30" s="259"/>
      <c r="G30" s="259"/>
      <c r="H30" s="259"/>
    </row>
    <row r="31" spans="1:8">
      <c r="A31" s="259"/>
      <c r="B31" s="31"/>
      <c r="C31" s="259"/>
      <c r="D31" s="65"/>
      <c r="E31" s="31"/>
      <c r="F31" s="259"/>
      <c r="G31" s="259"/>
      <c r="H31" s="259"/>
    </row>
    <row r="32" spans="1:8">
      <c r="A32" s="259"/>
      <c r="B32" s="259"/>
      <c r="C32" s="185"/>
      <c r="D32" s="65"/>
      <c r="E32" s="31"/>
      <c r="F32" s="259"/>
      <c r="G32" s="259"/>
      <c r="H32" s="259"/>
    </row>
    <row r="33" spans="1:5">
      <c r="A33" s="259"/>
      <c r="B33" s="259"/>
      <c r="C33" s="185"/>
      <c r="D33" s="65"/>
      <c r="E33" s="31"/>
    </row>
    <row r="34" spans="1:5">
      <c r="A34" s="259"/>
      <c r="B34" s="259"/>
      <c r="C34" s="185"/>
      <c r="D34" s="178"/>
      <c r="E34" s="31"/>
    </row>
    <row r="35" spans="1:5" s="194" customFormat="1">
      <c r="A35" s="259"/>
      <c r="B35" s="259"/>
      <c r="C35" s="259"/>
      <c r="D35" s="178"/>
      <c r="E35" s="259"/>
    </row>
    <row r="36" spans="1:5">
      <c r="A36" s="259"/>
      <c r="B36" s="259"/>
      <c r="C36" s="259"/>
      <c r="D36" s="65"/>
      <c r="E36" s="31"/>
    </row>
    <row r="37" spans="1:5" s="37" customFormat="1">
      <c r="A37" s="259"/>
      <c r="B37" s="259"/>
      <c r="C37" s="259"/>
      <c r="D37" s="65"/>
      <c r="E37" s="31"/>
    </row>
    <row r="38" spans="1:5">
      <c r="A38" s="259"/>
      <c r="B38" s="259"/>
      <c r="C38" s="259"/>
      <c r="D38" s="65"/>
      <c r="E38" s="31"/>
    </row>
    <row r="39" spans="1:5">
      <c r="A39" s="259"/>
      <c r="B39" s="259"/>
      <c r="C39" s="259"/>
      <c r="D39" s="65"/>
      <c r="E39" s="31"/>
    </row>
    <row r="40" spans="1:5">
      <c r="A40" s="259"/>
      <c r="B40" s="259"/>
      <c r="C40" s="259"/>
      <c r="D40" s="65"/>
      <c r="E40" s="31"/>
    </row>
    <row r="41" spans="1:5">
      <c r="A41" s="259"/>
      <c r="B41" s="259"/>
      <c r="C41" s="259"/>
      <c r="D41" s="65"/>
      <c r="E41" s="31"/>
    </row>
    <row r="42" spans="1:5">
      <c r="A42" s="259"/>
      <c r="B42" s="259"/>
      <c r="C42" s="259"/>
      <c r="D42" s="65"/>
      <c r="E42" s="259"/>
    </row>
    <row r="43" spans="1:5">
      <c r="A43" s="259"/>
      <c r="B43" s="259"/>
      <c r="C43" s="259"/>
      <c r="D43" s="65"/>
      <c r="E43" s="259"/>
    </row>
    <row r="44" spans="1:5">
      <c r="A44" s="259"/>
      <c r="B44" s="259"/>
      <c r="C44" s="259"/>
      <c r="D44" s="259"/>
      <c r="E44" s="259"/>
    </row>
    <row r="45" spans="1:5">
      <c r="A45" s="259"/>
      <c r="B45" s="259"/>
      <c r="C45" s="259"/>
      <c r="D45" s="259"/>
      <c r="E45" s="259"/>
    </row>
    <row r="46" spans="1:5">
      <c r="A46" s="259"/>
      <c r="B46" s="259"/>
      <c r="C46" s="259"/>
      <c r="D46" s="259"/>
      <c r="E46" s="259"/>
    </row>
    <row r="47" spans="1:5">
      <c r="A47" s="259"/>
      <c r="B47" s="259"/>
      <c r="C47" s="259"/>
      <c r="D47" s="259"/>
      <c r="E47" s="259"/>
    </row>
    <row r="48" spans="1:5">
      <c r="A48" s="259"/>
      <c r="B48" s="259"/>
      <c r="C48" s="259"/>
      <c r="D48" s="259"/>
      <c r="E48" s="259"/>
    </row>
    <row r="52" spans="1:3">
      <c r="A52" s="259" t="s">
        <v>261</v>
      </c>
      <c r="B52" s="259">
        <f>E28*0.5</f>
        <v>0</v>
      </c>
      <c r="C52" s="259">
        <f>B52/12</f>
        <v>0</v>
      </c>
    </row>
    <row r="53" spans="1:3">
      <c r="A53" s="259" t="s">
        <v>262</v>
      </c>
      <c r="B53" s="259">
        <f>E28*0.7</f>
        <v>0</v>
      </c>
      <c r="C53" s="259">
        <f>B53/12</f>
        <v>0</v>
      </c>
    </row>
    <row r="54" spans="1:3">
      <c r="A54" s="259"/>
      <c r="B54" s="259"/>
      <c r="C54" s="259"/>
    </row>
    <row r="55" spans="1:3">
      <c r="A55" s="209"/>
      <c r="B55" s="259"/>
      <c r="C55" s="259"/>
    </row>
    <row r="56" spans="1:3">
      <c r="A56" s="209"/>
      <c r="B56" s="259"/>
      <c r="C56" s="259"/>
    </row>
    <row r="57" spans="1:3">
      <c r="A57" s="209"/>
      <c r="B57" s="259"/>
      <c r="C57" s="259"/>
    </row>
    <row r="58" spans="1:3">
      <c r="A58" s="209"/>
      <c r="B58" s="259"/>
      <c r="C58" s="259"/>
    </row>
    <row r="59" spans="1:3">
      <c r="A59" s="209"/>
      <c r="B59" s="259"/>
      <c r="C59" s="259"/>
    </row>
    <row r="60" spans="1:3">
      <c r="A60" s="209"/>
      <c r="B60" s="259"/>
      <c r="C60" s="259"/>
    </row>
    <row r="61" spans="1:3">
      <c r="A61" s="209"/>
      <c r="B61" s="259"/>
      <c r="C61" s="259"/>
    </row>
    <row r="62" spans="1:3">
      <c r="A62" s="209"/>
      <c r="B62" s="259"/>
      <c r="C62" s="259"/>
    </row>
    <row r="63" spans="1:3">
      <c r="A63" s="259"/>
      <c r="B63" s="259"/>
      <c r="C63" s="259"/>
    </row>
    <row r="64" spans="1:3">
      <c r="A64" s="259"/>
      <c r="B64" s="259"/>
      <c r="C64" s="259"/>
    </row>
    <row r="65" spans="1:2">
      <c r="A65" s="259"/>
      <c r="B65" s="259"/>
    </row>
    <row r="66" spans="1:2">
      <c r="A66" s="259"/>
      <c r="B66" s="259"/>
    </row>
    <row r="67" spans="1:2">
      <c r="A67" s="210"/>
      <c r="B67" s="25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5"/>
  <sheetViews>
    <sheetView topLeftCell="A39" zoomScale="145" zoomScaleNormal="145" workbookViewId="0">
      <selection activeCell="A59" sqref="A59"/>
    </sheetView>
  </sheetViews>
  <sheetFormatPr defaultColWidth="8.85546875" defaultRowHeight="15"/>
  <cols>
    <col min="1" max="1" width="36" style="61" customWidth="1"/>
    <col min="2" max="2" width="10.28515625" style="72" customWidth="1"/>
    <col min="3" max="3" width="14.28515625" style="61" customWidth="1"/>
    <col min="4" max="4" width="10.140625" style="61" bestFit="1" customWidth="1"/>
    <col min="5" max="16384" width="8.85546875" style="61"/>
  </cols>
  <sheetData>
    <row r="1" spans="1:6">
      <c r="A1" s="282" t="s">
        <v>263</v>
      </c>
      <c r="B1" s="282"/>
    </row>
    <row r="2" spans="1:6">
      <c r="A2" s="4"/>
      <c r="B2" s="8"/>
    </row>
    <row r="3" spans="1:6">
      <c r="A3" s="262" t="s">
        <v>264</v>
      </c>
      <c r="B3" s="252"/>
    </row>
    <row r="4" spans="1:6">
      <c r="A4" s="75" t="s">
        <v>265</v>
      </c>
      <c r="B4" s="203">
        <v>1100</v>
      </c>
      <c r="C4" s="216"/>
      <c r="D4" s="248"/>
      <c r="E4" s="190"/>
      <c r="F4" s="196"/>
    </row>
    <row r="5" spans="1:6">
      <c r="A5" s="75" t="s">
        <v>266</v>
      </c>
      <c r="B5" s="237">
        <v>25</v>
      </c>
    </row>
    <row r="6" spans="1:6">
      <c r="A6" s="251" t="s">
        <v>267</v>
      </c>
      <c r="B6" s="251"/>
      <c r="D6" s="190"/>
    </row>
    <row r="7" spans="1:6">
      <c r="A7" s="284" t="s">
        <v>268</v>
      </c>
      <c r="B7" s="285">
        <v>24.57</v>
      </c>
    </row>
    <row r="8" spans="1:6">
      <c r="A8" s="75" t="s">
        <v>269</v>
      </c>
      <c r="B8" s="285">
        <f>1100*0.1437</f>
        <v>158.07</v>
      </c>
      <c r="C8" s="66"/>
    </row>
    <row r="9" spans="1:6">
      <c r="A9" s="75" t="s">
        <v>270</v>
      </c>
      <c r="B9" s="285">
        <f>SUM(B7:B8)*0.15</f>
        <v>27.395999999999997</v>
      </c>
    </row>
    <row r="10" spans="1:6">
      <c r="A10" s="75" t="s">
        <v>17</v>
      </c>
      <c r="B10" s="285">
        <f>SUM(B7:B9)</f>
        <v>210.03599999999997</v>
      </c>
    </row>
    <row r="11" spans="1:6">
      <c r="A11" s="223" t="s">
        <v>271</v>
      </c>
      <c r="B11" s="217">
        <f>(57.8+((54.56+(54.56*15%))/12))</f>
        <v>63.028666666666666</v>
      </c>
    </row>
    <row r="12" spans="1:6">
      <c r="A12" s="81" t="s">
        <v>272</v>
      </c>
      <c r="B12" s="207">
        <f>SUM(B10:B11)</f>
        <v>273.06466666666665</v>
      </c>
    </row>
    <row r="13" spans="1:6">
      <c r="A13" s="81" t="s">
        <v>273</v>
      </c>
      <c r="B13" s="207">
        <f>B4+B5+B12</f>
        <v>1398.0646666666667</v>
      </c>
      <c r="D13" s="190"/>
    </row>
    <row r="14" spans="1:6">
      <c r="A14" s="286"/>
      <c r="B14" s="287"/>
    </row>
    <row r="15" spans="1:6">
      <c r="A15" s="25" t="s">
        <v>247</v>
      </c>
      <c r="B15" s="29"/>
    </row>
    <row r="16" spans="1:6">
      <c r="A16" s="75" t="s">
        <v>274</v>
      </c>
      <c r="B16" s="179">
        <f>MBM!D12*CPI!F14/CPI!E14</f>
        <v>2224.829434697856</v>
      </c>
    </row>
    <row r="17" spans="1:6">
      <c r="A17" s="81" t="s">
        <v>275</v>
      </c>
      <c r="B17" s="29">
        <f>B16/12</f>
        <v>185.402452891488</v>
      </c>
    </row>
    <row r="18" spans="1:6">
      <c r="A18" s="62"/>
      <c r="B18" s="7"/>
    </row>
    <row r="19" spans="1:6">
      <c r="A19" s="63" t="s">
        <v>276</v>
      </c>
      <c r="B19" s="179">
        <f>(MBM!G12*CPI!K9/CPI!J9)*60%</f>
        <v>7327.5112748710389</v>
      </c>
      <c r="C19" s="64"/>
    </row>
    <row r="20" spans="1:6">
      <c r="A20" s="218" t="s">
        <v>275</v>
      </c>
      <c r="B20" s="29">
        <f>B19/12</f>
        <v>610.62593957258662</v>
      </c>
      <c r="C20" s="64"/>
    </row>
    <row r="21" spans="1:6">
      <c r="A21" s="63"/>
      <c r="B21" s="179"/>
      <c r="C21" s="64"/>
      <c r="D21" s="64"/>
    </row>
    <row r="22" spans="1:6">
      <c r="A22" s="75" t="s">
        <v>277</v>
      </c>
      <c r="B22" s="179">
        <f>(MBM!G12*CPI!K9/CPI!J9)*40%</f>
        <v>4885.0075165806929</v>
      </c>
    </row>
    <row r="23" spans="1:6">
      <c r="A23" s="81" t="s">
        <v>275</v>
      </c>
      <c r="B23" s="206">
        <f>B22/12</f>
        <v>407.08395971505774</v>
      </c>
    </row>
    <row r="24" spans="1:6">
      <c r="A24" s="288"/>
      <c r="B24" s="289"/>
    </row>
    <row r="25" spans="1:6">
      <c r="A25" s="283" t="s">
        <v>10</v>
      </c>
      <c r="B25" s="290"/>
    </row>
    <row r="26" spans="1:6">
      <c r="A26" s="77" t="s">
        <v>278</v>
      </c>
      <c r="B26" s="67">
        <f>58.5*12</f>
        <v>702</v>
      </c>
    </row>
    <row r="27" spans="1:6">
      <c r="A27" s="75" t="s">
        <v>279</v>
      </c>
      <c r="B27" s="73">
        <f>MBM!E10*CPI!F16/CPI!E16</f>
        <v>4220.2985811227636</v>
      </c>
      <c r="C27" s="204"/>
    </row>
    <row r="28" spans="1:6">
      <c r="A28" s="75" t="s">
        <v>280</v>
      </c>
      <c r="B28" s="73">
        <f>((12*4)*12)</f>
        <v>576</v>
      </c>
      <c r="C28" s="204"/>
      <c r="D28" s="190"/>
    </row>
    <row r="29" spans="1:6">
      <c r="A29" s="81" t="s">
        <v>281</v>
      </c>
      <c r="B29" s="180">
        <f>SUM(B26:B28)</f>
        <v>5498.2985811227636</v>
      </c>
      <c r="C29" s="64"/>
    </row>
    <row r="30" spans="1:6">
      <c r="A30" s="81" t="s">
        <v>275</v>
      </c>
      <c r="B30" s="180">
        <f>B29/12</f>
        <v>458.19154842689699</v>
      </c>
      <c r="C30" s="64"/>
    </row>
    <row r="31" spans="1:6">
      <c r="A31" s="286"/>
      <c r="B31" s="289"/>
    </row>
    <row r="32" spans="1:6">
      <c r="A32" s="262" t="s">
        <v>14</v>
      </c>
      <c r="B32" s="30"/>
      <c r="C32" s="6"/>
      <c r="D32" s="3"/>
      <c r="E32" s="3"/>
      <c r="F32" s="3"/>
    </row>
    <row r="33" spans="1:9">
      <c r="A33" s="75" t="s">
        <v>282</v>
      </c>
      <c r="B33" s="285">
        <f>416</f>
        <v>416</v>
      </c>
      <c r="C33" s="291"/>
    </row>
    <row r="34" spans="1:9">
      <c r="A34" s="75" t="s">
        <v>283</v>
      </c>
      <c r="B34" s="285">
        <v>0</v>
      </c>
      <c r="C34" s="288"/>
      <c r="D34" s="190"/>
    </row>
    <row r="35" spans="1:9">
      <c r="A35" s="75" t="s">
        <v>284</v>
      </c>
      <c r="B35" s="285">
        <v>125</v>
      </c>
      <c r="C35" s="288"/>
    </row>
    <row r="36" spans="1:9">
      <c r="A36" s="81" t="s">
        <v>285</v>
      </c>
      <c r="B36" s="292">
        <f>(B33+B35)*2+B34</f>
        <v>1082</v>
      </c>
      <c r="C36" s="288"/>
    </row>
    <row r="37" spans="1:9">
      <c r="A37" s="81" t="s">
        <v>275</v>
      </c>
      <c r="B37" s="292">
        <f>B36/12</f>
        <v>90.166666666666671</v>
      </c>
      <c r="C37" s="288"/>
    </row>
    <row r="38" spans="1:9">
      <c r="A38" s="261"/>
      <c r="C38" s="288"/>
    </row>
    <row r="39" spans="1:9">
      <c r="A39" s="293" t="s">
        <v>11</v>
      </c>
      <c r="B39" s="294"/>
      <c r="C39" s="288"/>
    </row>
    <row r="40" spans="1:9">
      <c r="A40" s="76" t="s">
        <v>286</v>
      </c>
      <c r="B40" s="67">
        <f>(608*12)</f>
        <v>7296</v>
      </c>
      <c r="C40" s="66"/>
      <c r="D40" s="190"/>
    </row>
    <row r="41" spans="1:9">
      <c r="A41" s="76" t="s">
        <v>287</v>
      </c>
      <c r="B41" s="67">
        <f>((21.9+13.5+14)/3)*195</f>
        <v>3210.9999999999995</v>
      </c>
      <c r="D41" s="64"/>
    </row>
    <row r="42" spans="1:9">
      <c r="A42" s="76" t="s">
        <v>288</v>
      </c>
      <c r="B42" s="67">
        <f>((150+125)/2)*7</f>
        <v>962.5</v>
      </c>
      <c r="D42" s="64"/>
      <c r="I42" s="66"/>
    </row>
    <row r="43" spans="1:9">
      <c r="A43" s="76" t="s">
        <v>289</v>
      </c>
      <c r="B43" s="67">
        <f>((37+18.5+22+36)/4)*21</f>
        <v>595.875</v>
      </c>
      <c r="I43" s="66"/>
    </row>
    <row r="44" spans="1:9">
      <c r="A44" s="208" t="s">
        <v>290</v>
      </c>
      <c r="B44" s="67">
        <v>0</v>
      </c>
    </row>
    <row r="45" spans="1:9">
      <c r="A45" s="219" t="s">
        <v>281</v>
      </c>
      <c r="B45" s="295">
        <f>SUM(B40:B44)</f>
        <v>12065.375</v>
      </c>
      <c r="D45" s="66"/>
    </row>
    <row r="46" spans="1:9">
      <c r="A46" s="219" t="s">
        <v>275</v>
      </c>
      <c r="B46" s="295">
        <f>B45/12</f>
        <v>1005.4479166666666</v>
      </c>
      <c r="F46" s="66"/>
    </row>
    <row r="47" spans="1:9">
      <c r="A47" s="296"/>
      <c r="B47" s="296"/>
      <c r="E47" s="66"/>
    </row>
    <row r="48" spans="1:9">
      <c r="A48" s="254" t="s">
        <v>291</v>
      </c>
      <c r="B48" s="297"/>
      <c r="C48" s="66"/>
      <c r="F48" s="280"/>
      <c r="G48" s="281"/>
    </row>
    <row r="49" spans="1:7">
      <c r="A49" s="221" t="s">
        <v>292</v>
      </c>
      <c r="B49" s="222">
        <f>MBM!C12*CPI!F10/CPI!E10</f>
        <v>12917.771002710027</v>
      </c>
      <c r="C49" s="66"/>
      <c r="F49" s="260"/>
      <c r="G49" s="261"/>
    </row>
    <row r="50" spans="1:7">
      <c r="A50" s="223" t="s">
        <v>275</v>
      </c>
      <c r="B50" s="224">
        <f>B49/12</f>
        <v>1076.4809168925024</v>
      </c>
      <c r="C50" s="66"/>
      <c r="D50" s="64"/>
      <c r="F50" s="260"/>
      <c r="G50" s="261"/>
    </row>
    <row r="51" spans="1:7">
      <c r="A51" s="205"/>
      <c r="B51" s="298"/>
      <c r="C51" s="66"/>
      <c r="D51" s="64"/>
      <c r="F51" s="260"/>
      <c r="G51" s="261"/>
    </row>
    <row r="52" spans="1:7">
      <c r="A52" s="255" t="s">
        <v>293</v>
      </c>
      <c r="B52" s="82"/>
      <c r="C52" s="66"/>
      <c r="F52" s="260"/>
      <c r="G52" s="261"/>
    </row>
    <row r="53" spans="1:7">
      <c r="A53" s="83" t="s">
        <v>294</v>
      </c>
      <c r="B53" s="71">
        <v>176.33</v>
      </c>
      <c r="C53" s="66"/>
      <c r="F53" s="260"/>
      <c r="G53" s="261"/>
    </row>
    <row r="54" spans="1:7">
      <c r="A54" s="249" t="s">
        <v>281</v>
      </c>
      <c r="B54" s="250">
        <f>B53*12</f>
        <v>2115.96</v>
      </c>
      <c r="C54" s="66"/>
      <c r="F54" s="260"/>
      <c r="G54" s="261"/>
    </row>
    <row r="55" spans="1:7">
      <c r="B55" s="220"/>
      <c r="C55" s="1"/>
    </row>
  </sheetData>
  <mergeCells count="4">
    <mergeCell ref="F48:G48"/>
    <mergeCell ref="A1:B1"/>
    <mergeCell ref="A25:B25"/>
    <mergeCell ref="A47:B47"/>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Partridge</dc:creator>
  <cp:keywords/>
  <dc:description/>
  <cp:lastModifiedBy>Christine Saulnier</cp:lastModifiedBy>
  <cp:revision/>
  <dcterms:created xsi:type="dcterms:W3CDTF">2014-07-08T21:01:56Z</dcterms:created>
  <dcterms:modified xsi:type="dcterms:W3CDTF">2022-11-09T15:27:01Z</dcterms:modified>
  <cp:category/>
  <cp:contentStatus/>
</cp:coreProperties>
</file>