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06"/>
  <workbookPr autoCompressPictures="0"/>
  <mc:AlternateContent xmlns:mc="http://schemas.openxmlformats.org/markup-compatibility/2006">
    <mc:Choice Requires="x15">
      <x15ac:absPath xmlns:x15ac="http://schemas.microsoft.com/office/spreadsheetml/2010/11/ac" url="/Users/christinesaulnier/Dropbox/CCPA 2007/Research/Living Wage/LIving Wages 2020/"/>
    </mc:Choice>
  </mc:AlternateContent>
  <xr:revisionPtr revIDLastSave="0" documentId="8_{1323F12A-9CF1-43DC-9CE4-3B18EBDCBB03}" xr6:coauthVersionLast="47" xr6:coauthVersionMax="47" xr10:uidLastSave="{00000000-0000-0000-0000-000000000000}"/>
  <bookViews>
    <workbookView xWindow="0" yWindow="460" windowWidth="38400" windowHeight="21140" firstSheet="2" activeTab="2" xr2:uid="{00000000-000D-0000-FFFF-FFFF00000000}"/>
  </bookViews>
  <sheets>
    <sheet name="LW 2020 Income" sheetId="1" r:id="rId1"/>
    <sheet name="Gov Transfers " sheetId="15" r:id="rId2"/>
    <sheet name="Taxes &amp; Credits" sheetId="16" r:id="rId3"/>
    <sheet name="CPI" sheetId="9" r:id="rId4"/>
    <sheet name="MBM" sheetId="10" r:id="rId5"/>
    <sheet name="Family Expenses"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9" l="1"/>
  <c r="B8" i="14"/>
  <c r="B55" i="14" l="1"/>
  <c r="N9" i="9" l="1"/>
  <c r="M9" i="9"/>
  <c r="B38" i="1" l="1"/>
  <c r="B54" i="14"/>
  <c r="B53" i="14"/>
  <c r="B42" i="14"/>
  <c r="B30" i="14"/>
  <c r="B24" i="14"/>
  <c r="B25" i="14" s="1"/>
  <c r="B21" i="14"/>
  <c r="B22" i="14" s="1"/>
  <c r="B14" i="1" s="1"/>
  <c r="B13" i="14"/>
  <c r="C14" i="1" l="1"/>
  <c r="C15" i="1"/>
  <c r="B6" i="1"/>
  <c r="B18" i="14"/>
  <c r="C6" i="1" l="1"/>
  <c r="G10" i="10"/>
  <c r="B35" i="14"/>
  <c r="B51" i="10" l="1"/>
  <c r="C51" i="10" s="1"/>
  <c r="B50" i="10"/>
  <c r="C50" i="10" s="1"/>
  <c r="B45" i="14"/>
  <c r="D24" i="1" l="1"/>
  <c r="H62" i="16"/>
  <c r="B59" i="14" l="1"/>
  <c r="B29" i="14"/>
  <c r="B11" i="1"/>
  <c r="B43" i="14" l="1"/>
  <c r="B44" i="14"/>
  <c r="B28" i="14"/>
  <c r="C3" i="16"/>
  <c r="J7" i="15"/>
  <c r="J8" i="15" s="1"/>
  <c r="B47" i="14" l="1"/>
  <c r="B48" i="14" s="1"/>
  <c r="I21" i="16" l="1"/>
  <c r="I19" i="16"/>
  <c r="I17" i="16"/>
  <c r="I16" i="16"/>
  <c r="H16" i="16"/>
  <c r="H34" i="16"/>
  <c r="C8" i="16" l="1"/>
  <c r="I40" i="16"/>
  <c r="I43" i="16"/>
  <c r="L48" i="16"/>
  <c r="L49" i="16" s="1"/>
  <c r="I44" i="16" s="1"/>
  <c r="C37" i="1"/>
  <c r="B19" i="14"/>
  <c r="B7" i="1" s="1"/>
  <c r="B38" i="14"/>
  <c r="C10" i="1"/>
  <c r="I7" i="15" s="1"/>
  <c r="K7" i="15" s="1"/>
  <c r="B9" i="14"/>
  <c r="B10" i="14" s="1"/>
  <c r="B31" i="14"/>
  <c r="C11" i="1"/>
  <c r="B39" i="1"/>
  <c r="I8" i="15" s="1"/>
  <c r="K8" i="15" s="1"/>
  <c r="C28" i="16"/>
  <c r="L33" i="16"/>
  <c r="L34" i="16"/>
  <c r="D32" i="10"/>
  <c r="C16" i="15"/>
  <c r="C20" i="1"/>
  <c r="H40" i="16"/>
  <c r="H43" i="16"/>
  <c r="H50" i="16"/>
  <c r="B45" i="1"/>
  <c r="I40" i="15"/>
  <c r="I41" i="15"/>
  <c r="D22" i="1" s="1"/>
  <c r="C21" i="15"/>
  <c r="C22" i="15" s="1"/>
  <c r="D15" i="10"/>
  <c r="D36" i="1"/>
  <c r="C13" i="1" l="1"/>
  <c r="B13" i="1" s="1"/>
  <c r="B39" i="14"/>
  <c r="C9" i="1"/>
  <c r="B9" i="1" s="1"/>
  <c r="B32" i="14"/>
  <c r="C7" i="1"/>
  <c r="C12" i="1"/>
  <c r="B12" i="1" s="1"/>
  <c r="L35" i="16"/>
  <c r="I32" i="16" s="1"/>
  <c r="C38" i="1"/>
  <c r="I6" i="15"/>
  <c r="I14" i="15"/>
  <c r="D21" i="1"/>
  <c r="B40" i="1"/>
  <c r="C13" i="16"/>
  <c r="H31" i="16" s="1"/>
  <c r="B10" i="1"/>
  <c r="B11" i="14"/>
  <c r="B12" i="14" s="1"/>
  <c r="B14" i="14" s="1"/>
  <c r="B15" i="14" l="1"/>
  <c r="B8" i="1" s="1"/>
  <c r="D38" i="1"/>
  <c r="C40" i="1"/>
  <c r="H45" i="16"/>
  <c r="H48" i="16"/>
  <c r="H42" i="16"/>
  <c r="J6" i="15"/>
  <c r="K6" i="15" s="1"/>
  <c r="D8" i="16"/>
  <c r="I41" i="16" s="1"/>
  <c r="H33" i="16"/>
  <c r="I9" i="15"/>
  <c r="D13" i="16"/>
  <c r="B42" i="1"/>
  <c r="H18" i="16"/>
  <c r="H20" i="16" s="1"/>
  <c r="H22" i="16" s="1"/>
  <c r="H23" i="16" s="1"/>
  <c r="H24" i="16" s="1"/>
  <c r="H29" i="16" s="1"/>
  <c r="H35" i="16"/>
  <c r="D50" i="1" l="1"/>
  <c r="C55" i="16"/>
  <c r="C8" i="1"/>
  <c r="D40" i="1"/>
  <c r="C25" i="1" s="1"/>
  <c r="I35" i="16"/>
  <c r="I18" i="16"/>
  <c r="I20" i="16" s="1"/>
  <c r="I22" i="16" s="1"/>
  <c r="I23" i="16" s="1"/>
  <c r="I24" i="16" s="1"/>
  <c r="I29" i="16" s="1"/>
  <c r="I48" i="16"/>
  <c r="J9" i="15"/>
  <c r="K9" i="15" s="1"/>
  <c r="I11" i="15"/>
  <c r="C41" i="1"/>
  <c r="I30" i="16"/>
  <c r="I42" i="16"/>
  <c r="I49" i="16" s="1"/>
  <c r="C42" i="1"/>
  <c r="I31" i="16"/>
  <c r="I50" i="16" l="1"/>
  <c r="C45" i="1"/>
  <c r="C29" i="16"/>
  <c r="I51" i="16"/>
  <c r="C43" i="1" s="1"/>
  <c r="J49" i="15"/>
  <c r="C24" i="1" s="1"/>
  <c r="I38" i="15"/>
  <c r="D6" i="15" s="1"/>
  <c r="C6" i="15" s="1"/>
  <c r="B21" i="1" s="1"/>
  <c r="I39" i="15"/>
  <c r="D7" i="15" s="1"/>
  <c r="C7" i="15" s="1"/>
  <c r="B22" i="1" s="1"/>
  <c r="I49" i="15"/>
  <c r="D8" i="15" s="1"/>
  <c r="C23" i="1" s="1"/>
  <c r="J10" i="15"/>
  <c r="B25" i="1"/>
  <c r="I36" i="16"/>
  <c r="I38" i="16" s="1"/>
  <c r="C44" i="1" s="1"/>
  <c r="J11" i="15"/>
  <c r="K11" i="15" s="1"/>
  <c r="D42" i="1"/>
  <c r="B15" i="1"/>
  <c r="J14" i="15" l="1"/>
  <c r="K14" i="15" s="1"/>
  <c r="D45" i="1"/>
  <c r="J12" i="15"/>
  <c r="C22" i="1"/>
  <c r="B23" i="1"/>
  <c r="C21" i="1"/>
  <c r="C8" i="15"/>
  <c r="J13" i="15"/>
  <c r="B24" i="1"/>
  <c r="C46" i="1"/>
  <c r="J15" i="15" l="1"/>
  <c r="B26" i="1"/>
  <c r="C26" i="1"/>
  <c r="C47" i="1"/>
  <c r="H30" i="16"/>
  <c r="H36" i="16" s="1"/>
  <c r="H38" i="16" s="1"/>
  <c r="B44" i="1" s="1"/>
  <c r="H41" i="16"/>
  <c r="H49" i="16" s="1"/>
  <c r="H51" i="16" s="1"/>
  <c r="B43" i="1" s="1"/>
  <c r="B41" i="1"/>
  <c r="D53" i="1" l="1"/>
  <c r="I10" i="15"/>
  <c r="K10" i="15" s="1"/>
  <c r="D41" i="1"/>
  <c r="I13" i="15"/>
  <c r="K13" i="15" s="1"/>
  <c r="D44" i="1"/>
  <c r="I12" i="15"/>
  <c r="K12" i="15" s="1"/>
  <c r="D51" i="1"/>
  <c r="B46" i="1"/>
  <c r="D43" i="1"/>
  <c r="D52" i="1" l="1"/>
  <c r="I15" i="15"/>
  <c r="K15" i="15" s="1"/>
  <c r="D46" i="1"/>
  <c r="B47" i="1"/>
  <c r="C16" i="1"/>
  <c r="C31" i="1" s="1"/>
  <c r="B16" i="1"/>
  <c r="C30" i="1" l="1"/>
  <c r="D47" i="1"/>
  <c r="D54" i="1"/>
  <c r="D6" i="1"/>
  <c r="D10" i="1"/>
  <c r="D7" i="1"/>
  <c r="D11" i="1"/>
  <c r="D9" i="1"/>
  <c r="D15" i="1"/>
  <c r="D8" i="1"/>
  <c r="D13" i="1"/>
  <c r="D55" i="1"/>
  <c r="D16" i="1"/>
  <c r="D12" i="1"/>
  <c r="D14" i="1"/>
  <c r="C32" i="1" l="1"/>
  <c r="D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H64" authorId="0" shapeId="0" xr:uid="{00000000-0006-0000-0100-000003000000}">
      <text>
        <r>
          <rPr>
            <b/>
            <sz val="9"/>
            <color indexed="81"/>
            <rFont val="Tahoma"/>
            <family val="2"/>
          </rPr>
          <t>Bourgeois:</t>
        </r>
        <r>
          <rPr>
            <sz val="9"/>
            <color indexed="81"/>
            <rFont val="Tahoma"/>
            <family val="2"/>
          </rPr>
          <t xml:space="preserve">
source https://www.canada.ca/en/revenue-agency/services/child-family-benefits/provincial-territorial-programs/information-new-brunswick-harmonized-sales-tax-credit.html#Q5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I35" authorId="0" shapeId="0" xr:uid="{00000000-0006-0000-0200-000002000000}">
      <text>
        <r>
          <rPr>
            <b/>
            <sz val="9"/>
            <color rgb="FF000000"/>
            <rFont val="Tahoma"/>
            <family val="2"/>
          </rPr>
          <t>Bourgeois:</t>
        </r>
        <r>
          <rPr>
            <sz val="9"/>
            <color rgb="FF000000"/>
            <rFont val="Tahoma"/>
            <family val="2"/>
          </rPr>
          <t xml:space="preserve">
</t>
        </r>
        <r>
          <rPr>
            <sz val="9"/>
            <color rgb="FF000000"/>
            <rFont val="Tahoma"/>
            <family val="2"/>
          </rPr>
          <t>watch out - the rate in NS is super low - and mostlikely requires 2 income brackets</t>
        </r>
      </text>
    </comment>
  </commentList>
</comments>
</file>

<file path=xl/sharedStrings.xml><?xml version="1.0" encoding="utf-8"?>
<sst xmlns="http://schemas.openxmlformats.org/spreadsheetml/2006/main" count="469" uniqueCount="291">
  <si>
    <t>Living Wage Calculation: Halifax 2020 (based on 2019 data)</t>
  </si>
  <si>
    <t>2 adults each work 35 hours/week, 2 children (aged 2 &amp; 7)</t>
  </si>
  <si>
    <t>Table I: Family Expenses--Two Adults and Two Children (age 2 and 7)</t>
  </si>
  <si>
    <t>Item</t>
  </si>
  <si>
    <t>Monthly</t>
  </si>
  <si>
    <t>Annually</t>
  </si>
  <si>
    <t>% of Total</t>
  </si>
  <si>
    <t>Food</t>
  </si>
  <si>
    <t>Clothing and Footwear</t>
  </si>
  <si>
    <t>Shelter</t>
  </si>
  <si>
    <t>Transportation</t>
  </si>
  <si>
    <t>Child Care</t>
  </si>
  <si>
    <t>Health Care</t>
  </si>
  <si>
    <t>Contingency/Emergency</t>
  </si>
  <si>
    <t>Parent Education</t>
  </si>
  <si>
    <t>Household Expenses</t>
  </si>
  <si>
    <t>Social Inclusion</t>
  </si>
  <si>
    <t>Total</t>
  </si>
  <si>
    <t>Table II:  Non-Wage Income (Government Transfers)</t>
  </si>
  <si>
    <t>Income</t>
  </si>
  <si>
    <t>No CBB at FNI</t>
  </si>
  <si>
    <t>NS Child Benefit</t>
  </si>
  <si>
    <t>CCB (jan- jun)</t>
  </si>
  <si>
    <t>CCB (july - dec)</t>
  </si>
  <si>
    <t>GST Credit (Jan-June)</t>
  </si>
  <si>
    <t>GST credit (July-Dec)</t>
  </si>
  <si>
    <t>NS Affordable Living Credit</t>
  </si>
  <si>
    <t>Table III:  Family Income Less Family Expenses</t>
  </si>
  <si>
    <t>Available Annual Income</t>
  </si>
  <si>
    <t>Annual Family Expenses</t>
  </si>
  <si>
    <t>Gap</t>
  </si>
  <si>
    <t xml:space="preserve"> </t>
  </si>
  <si>
    <t>Table IV:  The Living Wage and Government Deductions and Taxes</t>
  </si>
  <si>
    <t>Column1</t>
  </si>
  <si>
    <t>Parent 1</t>
  </si>
  <si>
    <t>Parent 2</t>
  </si>
  <si>
    <t>Hours / Week</t>
  </si>
  <si>
    <t>Wage</t>
  </si>
  <si>
    <t>Employment Income (gross)</t>
  </si>
  <si>
    <t xml:space="preserve">Adjustments </t>
  </si>
  <si>
    <t>Adjusted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</si>
  <si>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</si>
  <si>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</si>
  <si>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</si>
  <si>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</si>
  <si>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</si>
  <si>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</si>
  <si>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</si>
  <si>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</si>
  <si>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</si>
  <si>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</si>
  <si>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</si>
  <si>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 xml:space="preserve">  + CCB, GST, NSCB, NSALTC</t>
  </si>
  <si>
    <t>Equals Total Disposable Family Income</t>
  </si>
  <si>
    <t xml:space="preserve">  - Family Expenses</t>
  </si>
  <si>
    <t>Equals Income less expenses</t>
  </si>
  <si>
    <t>GOVERNMENT TRANSFERS 2019</t>
  </si>
  <si>
    <t>Table IIa:  Calculations for Government Tax and Transfers</t>
  </si>
  <si>
    <t>Month</t>
  </si>
  <si>
    <t>Annual</t>
  </si>
  <si>
    <t>Notes</t>
  </si>
  <si>
    <t>this years income</t>
  </si>
  <si>
    <t>CCB (jan-Jun)</t>
  </si>
  <si>
    <t>Employment Income</t>
  </si>
  <si>
    <t>CCB (jul -dec)</t>
  </si>
  <si>
    <t>Child Care Expenses</t>
  </si>
  <si>
    <t>GST credit</t>
  </si>
  <si>
    <t>NS affordable living credit</t>
  </si>
  <si>
    <t>calculated in main sheet</t>
  </si>
  <si>
    <t>Net Income</t>
  </si>
  <si>
    <t>NS child benefit</t>
  </si>
  <si>
    <t>income too high</t>
  </si>
  <si>
    <t>General Information</t>
  </si>
  <si>
    <t>number of kids under 18</t>
  </si>
  <si>
    <t>age of kid 1</t>
  </si>
  <si>
    <t>Canada Child benefit Calculation (CCB)</t>
  </si>
  <si>
    <t>age of kid 2</t>
  </si>
  <si>
    <t>January-June 2019</t>
  </si>
  <si>
    <t>https://www.canada.ca/en/revenue-agency/services/child-family-benefits/canada-child-benefit-overview/canada-child-benefit-ccb-calculation-sheet-july-2019-june-2020-payments-2018-tax-year.html</t>
  </si>
  <si>
    <t>1st treshold</t>
  </si>
  <si>
    <t xml:space="preserve">cells in </t>
  </si>
  <si>
    <t>need to be possibly updated</t>
  </si>
  <si>
    <t>2nd treshold</t>
  </si>
  <si>
    <t>don’t touch, unless the formula has changed</t>
  </si>
  <si>
    <t>max child under 6</t>
  </si>
  <si>
    <t>don't touch, they are simply linked</t>
  </si>
  <si>
    <t>max child 6 to 17</t>
  </si>
  <si>
    <t xml:space="preserve">July-December 2019 </t>
  </si>
  <si>
    <r>
      <t xml:space="preserve">reduction rates </t>
    </r>
    <r>
      <rPr>
        <b/>
        <u/>
        <sz val="12"/>
        <color theme="1"/>
        <rFont val="Calibri"/>
        <family val="2"/>
        <scheme val="minor"/>
      </rPr>
      <t>between</t>
    </r>
    <r>
      <rPr>
        <u/>
        <sz val="11"/>
        <color theme="1"/>
        <rFont val="Calibri"/>
        <family val="2"/>
        <scheme val="minor"/>
      </rPr>
      <t xml:space="preserve"> AFNI</t>
    </r>
  </si>
  <si>
    <t>1 child family</t>
  </si>
  <si>
    <t>2 chidren family</t>
  </si>
  <si>
    <t>3 children family</t>
  </si>
  <si>
    <t>4+ children family</t>
  </si>
  <si>
    <r>
      <t xml:space="preserve">plus rates  AFNI </t>
    </r>
    <r>
      <rPr>
        <b/>
        <u/>
        <sz val="12"/>
        <color theme="1"/>
        <rFont val="Calibri"/>
        <family val="2"/>
        <scheme val="minor"/>
      </rPr>
      <t>over</t>
    </r>
  </si>
  <si>
    <r>
      <t xml:space="preserve">CCB </t>
    </r>
    <r>
      <rPr>
        <b/>
        <sz val="12"/>
        <color theme="1"/>
        <rFont val="Calibri"/>
        <family val="2"/>
        <scheme val="minor"/>
      </rPr>
      <t>6 months</t>
    </r>
    <r>
      <rPr>
        <sz val="11"/>
        <color theme="1"/>
        <rFont val="Calibri"/>
        <family val="2"/>
        <scheme val="minor"/>
      </rPr>
      <t xml:space="preserve"> (Jan-June)</t>
    </r>
  </si>
  <si>
    <r>
      <t xml:space="preserve">CCB </t>
    </r>
    <r>
      <rPr>
        <b/>
        <sz val="12"/>
        <color theme="1"/>
        <rFont val="Calibri"/>
        <family val="2"/>
        <scheme val="minor"/>
      </rPr>
      <t>6 months</t>
    </r>
    <r>
      <rPr>
        <sz val="11"/>
        <color theme="1"/>
        <rFont val="Calibri"/>
        <family val="2"/>
        <scheme val="minor"/>
      </rPr>
      <t xml:space="preserve"> (July-Dec)</t>
    </r>
  </si>
  <si>
    <t>no CCB at FNI (Jan-June)</t>
  </si>
  <si>
    <t>no CCB at FNI (July-Dec)</t>
  </si>
  <si>
    <t>https://www.canada.ca/en/revenue-agency/services/child-family-benefits/canada-child-benefit-overview/canada-child-benefit-calculation-sheets.html</t>
  </si>
  <si>
    <t>GST Credit Jan-June 2019</t>
  </si>
  <si>
    <t>GST July-Dec 2019</t>
  </si>
  <si>
    <t>basic credit</t>
  </si>
  <si>
    <t>https://www.canada.ca/en/revenue-agency/services/child-family-benefits/goods-services-tax-harmonized-sales-tax-gst-hst-credit/goods-services-tax-harmonized-sales-tax-gst-hst-credit-payment-amounts-tax-years-2013-2015.html</t>
  </si>
  <si>
    <t>credit for spouse</t>
  </si>
  <si>
    <t>credit for children</t>
  </si>
  <si>
    <t>family net income treshold</t>
  </si>
  <si>
    <t>rate of net income difference</t>
  </si>
  <si>
    <t>https://www.canada.ca/en/revenue-agency/services/child-family-benefits/goods-services-tax-harmonized-sales-tax-gst-hst-credit/goods-services-tax-harmonized-sales-tax-credit-calculation-sheet-july-2018-june-2019-payments-2017-tax-year.html</t>
  </si>
  <si>
    <t>annual credit</t>
  </si>
  <si>
    <t>NB</t>
  </si>
  <si>
    <t>in this sheet, you can find all the programs values, treshold and rates used in the calculation of the programs.</t>
  </si>
  <si>
    <t>for some program, a division was made explicitely to differenciated between the calculation of the first 6 months and the last 6 months.</t>
  </si>
  <si>
    <t>the formula used to make the calculations are fixed, in the sense that if the calculation process changes, the formula will need to be changed. If the values change (example to adjust for inflation, then simply update the values in the table)</t>
  </si>
  <si>
    <t>If you received an error, you did something wrong. Either entered a bad rate, or the error will specify to what the problem is.</t>
  </si>
  <si>
    <t>FEDERAL AND PROVINCIAL TAXES AND CREDITS 2019</t>
  </si>
  <si>
    <t xml:space="preserve">Employment Insurance </t>
  </si>
  <si>
    <t xml:space="preserve">Employment Insurance rate </t>
  </si>
  <si>
    <t>EI premiums</t>
  </si>
  <si>
    <t>Canadian Pension Plan</t>
  </si>
  <si>
    <t>CPP rate</t>
  </si>
  <si>
    <t>basic exemption</t>
  </si>
  <si>
    <t>CCP premiums</t>
  </si>
  <si>
    <t>NS Basic Personal Amount Calculation</t>
  </si>
  <si>
    <t>parent 1</t>
  </si>
  <si>
    <t>parent 2</t>
  </si>
  <si>
    <t>Income tax credits</t>
  </si>
  <si>
    <t>Provincial</t>
  </si>
  <si>
    <t>Federal</t>
  </si>
  <si>
    <t>(worksheet NS428)</t>
  </si>
  <si>
    <t>https://www.canada.ca/en/revenue-agency/services/tax/individuals/frequently-asked-questions-individuals/canadian-income-tax-rates-individuals-current-previous-years.html</t>
  </si>
  <si>
    <t>basic personal amount</t>
  </si>
  <si>
    <t>base amount</t>
  </si>
  <si>
    <t>https://www.canada.ca/en/revenue-agency/services/forms-publications/tax-packages-years/general-income-tax-benefit-package/nova-scotia/5003-pc/information-residents-nova-scotia.html</t>
  </si>
  <si>
    <t>spouse equivalence amount</t>
  </si>
  <si>
    <t>supplement amount</t>
  </si>
  <si>
    <t>https://www.canada.ca/content/dam/cra-arc/formspubs/pbg/5003-d/5003-d-19e.pdf</t>
  </si>
  <si>
    <t>age amount</t>
  </si>
  <si>
    <t>amount from return</t>
  </si>
  <si>
    <t>disability amount</t>
  </si>
  <si>
    <t>income threshold</t>
  </si>
  <si>
    <t>https://www.canada.ca/content/dam/cra-arc/formspubs/pbg/5003-s11/5003-s11-19e.pdf</t>
  </si>
  <si>
    <t>medical expense rate</t>
  </si>
  <si>
    <t>minus</t>
  </si>
  <si>
    <t>non-refundable tax credit rate</t>
  </si>
  <si>
    <t>applicable rate</t>
  </si>
  <si>
    <t>canada employment amount</t>
  </si>
  <si>
    <t>multiply</t>
  </si>
  <si>
    <t xml:space="preserve">Amount for young child (NS) </t>
  </si>
  <si>
    <t>low income tax reduction (provincial)</t>
  </si>
  <si>
    <t>threshold amount</t>
  </si>
  <si>
    <t>phase out rate</t>
  </si>
  <si>
    <t>max reduction</t>
  </si>
  <si>
    <t>provincial income tax calculation</t>
  </si>
  <si>
    <t>*don’t touch, just to show the calculation</t>
  </si>
  <si>
    <t>low income tax deduction</t>
  </si>
  <si>
    <t>parent 2 claimed</t>
  </si>
  <si>
    <t>EI premium</t>
  </si>
  <si>
    <t>Provincial income tax rates*</t>
  </si>
  <si>
    <t>CPP premiums</t>
  </si>
  <si>
    <t>min range</t>
  </si>
  <si>
    <t>max range</t>
  </si>
  <si>
    <t>rate</t>
  </si>
  <si>
    <t>add</t>
  </si>
  <si>
    <t>tuition</t>
  </si>
  <si>
    <t>Provincial Tuition Credits</t>
  </si>
  <si>
    <t>medical expenses</t>
  </si>
  <si>
    <t>Tuition</t>
  </si>
  <si>
    <t>NS young amount</t>
  </si>
  <si>
    <t>$60/month</t>
  </si>
  <si>
    <t>base tax payable</t>
  </si>
  <si>
    <t>**</t>
  </si>
  <si>
    <t>non-refundable tax credits</t>
  </si>
  <si>
    <t>refundable tax credits</t>
  </si>
  <si>
    <t>*income specific, if the income goes above this, it will be wrong</t>
  </si>
  <si>
    <t>net provincial tax</t>
  </si>
  <si>
    <t>Federal income tax rates*</t>
  </si>
  <si>
    <t>federal income tax calculation</t>
  </si>
  <si>
    <t>Canada employment</t>
  </si>
  <si>
    <t>tuition amounts</t>
  </si>
  <si>
    <t>medical expenses tax credit</t>
  </si>
  <si>
    <t xml:space="preserve">Federal Tuition Credits </t>
  </si>
  <si>
    <t>Canada Workers Benefit</t>
  </si>
  <si>
    <t>CWB rate</t>
  </si>
  <si>
    <t>Maximum Benefit Amount</t>
  </si>
  <si>
    <t>net federal tax</t>
  </si>
  <si>
    <t>Family Net Income to zero</t>
  </si>
  <si>
    <t>Base Threshold</t>
  </si>
  <si>
    <t>Rate for CWB reduction</t>
  </si>
  <si>
    <t>CWB amount</t>
  </si>
  <si>
    <t>https://www.canada.ca/en/revenue-agency/services/child-family-benefits/canada-workers-benefit/calculation-families-canada.html</t>
  </si>
  <si>
    <t>refundable medical expense supplement</t>
  </si>
  <si>
    <t>family net income threshodl  ($27,639)</t>
  </si>
  <si>
    <t>Childcare Tax Credit</t>
  </si>
  <si>
    <t>One child under 6</t>
  </si>
  <si>
    <t>https://www.canada.ca/en/revenue-agency/services/tax/individuals/frequently-asked-questions-individuals/adjustment-personal-income-tax-benefit-amounts.html#nrtc-metc</t>
  </si>
  <si>
    <t>One child over 6</t>
  </si>
  <si>
    <t>NB: values in bold are used</t>
  </si>
  <si>
    <t>Consumer Price Index, annual average, not seasonally adjusted 1 2</t>
  </si>
  <si>
    <t>Table: 18-10-0005-01 (formerly CANSIM 326-0021)</t>
  </si>
  <si>
    <t>Geography: Canada, Province or territory, Census subdivision, Census metropolitan area, Census metropolitan area part</t>
  </si>
  <si>
    <t>Nova Scotia</t>
  </si>
  <si>
    <t>Halifax, Nova Scotia 4</t>
  </si>
  <si>
    <t>Products and product groups3</t>
  </si>
  <si>
    <t>2002=100</t>
  </si>
  <si>
    <t>All-items</t>
  </si>
  <si>
    <t>Food 5</t>
  </si>
  <si>
    <t>..</t>
  </si>
  <si>
    <t>Shelter 6</t>
  </si>
  <si>
    <t>Household operations, furnishings and equipment</t>
  </si>
  <si>
    <t>Clothing and footwear</t>
  </si>
  <si>
    <t>Gasoline</t>
  </si>
  <si>
    <t>Health and personal care</t>
  </si>
  <si>
    <t>Recreation, education and reading</t>
  </si>
  <si>
    <t>Alcoholic beverages, tobacco products and recreational cannabis</t>
  </si>
  <si>
    <t>Private transportation excluding gasoline</t>
  </si>
  <si>
    <t>Operation of Passenger vehicle</t>
  </si>
  <si>
    <t>Food and energy 7</t>
  </si>
  <si>
    <t>Energy 7</t>
  </si>
  <si>
    <t>Rent 7</t>
  </si>
  <si>
    <t>Symbol legend:</t>
  </si>
  <si>
    <t>not available for a specific reference period</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</si>
  <si>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</si>
  <si>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</si>
  <si>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</si>
  <si>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tobacco products and recreational cannabis".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excluding food and energy", "energy", "goods", "services", or "fresh fruit and vegetables". They are listed after the components of the main structure of the CPI following the last major component entitled "alcoholic beverages, tobacco products and recreational cannabis".</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</si>
  <si>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</si>
  <si>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</si>
  <si>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</si>
  <si>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The special aggregate "energy" includes: "electricity", "natural gas", "fuel oil and other fuels", "gasoline", and "fuel, parts and accessories for recreational vehicles".</t>
  </si>
  <si>
    <t>How to cite: Statistics Canada. Table 18-10-0005-01 Consumer Price Index, annual average, not seasonally adjusted</t>
  </si>
  <si>
    <t>https://www150.statcan.gc.ca/t1/tbl1/en/tv.action?pid=1810000501</t>
  </si>
  <si>
    <t>DOI: https://doi.org/10.25318/1810000501-eng</t>
  </si>
  <si>
    <t>Table 206-0093 Market Basket Measure (MBM) thresholds (2011 base) for reference family, by Market Basket Measure region and component, in current dollars and 2016 constant dollars, annual(1,2)</t>
  </si>
  <si>
    <t>Survey or program details:</t>
  </si>
  <si>
    <t>Survey of Labour and Income Dynamics - 3889</t>
  </si>
  <si>
    <t>Canadian Income Survey - 5200</t>
  </si>
  <si>
    <t>last published</t>
  </si>
  <si>
    <t>Geography (3)</t>
  </si>
  <si>
    <t>Component</t>
  </si>
  <si>
    <t>Nova Scotia, rural</t>
  </si>
  <si>
    <t>Total threshold</t>
  </si>
  <si>
    <t>Clothing</t>
  </si>
  <si>
    <t>Other expenses</t>
  </si>
  <si>
    <t>Nova Scotia, population under 30,000</t>
  </si>
  <si>
    <t>Nova Scotia, population 30,000 to 99,999</t>
  </si>
  <si>
    <t>Halifax, Nova Scotia</t>
  </si>
  <si>
    <t>Cape Breton, Nova Scotia</t>
  </si>
  <si>
    <t>Source:</t>
  </si>
  <si>
    <t>Statistics Canada. Table 206-0093 - Market Basket Measure (MBM) thresholds (2011 base) for reference family, by Market Basket Measure region and component, in current dollars and 2016 constant dollars, annual</t>
  </si>
  <si>
    <t>(Accessed: January 25, 2018)</t>
  </si>
  <si>
    <t>Djidel, S., Gustajtis, B., Heisz, A., Lam, K., Marchand, I. and McDermott, S. (2020). Report on the second comprehensive review of the Market Basket Measure. (Ottawa: Statistics Canada). https://www150.statcan.gc.ca/n1/pub/75f0002m/75f0002m2020002-eng.pdf</t>
  </si>
  <si>
    <t>family of one</t>
  </si>
  <si>
    <t>family of two</t>
  </si>
  <si>
    <t>Family Expenses 2019</t>
  </si>
  <si>
    <t>Shelter Costs</t>
  </si>
  <si>
    <t>Rent (CMHC, Median for 3 brm+, Oct 2019)</t>
  </si>
  <si>
    <t>Content Insurance</t>
  </si>
  <si>
    <t>NS Power</t>
  </si>
  <si>
    <t>Base Customer Charge</t>
  </si>
  <si>
    <t>Rate/KWh (1100)</t>
  </si>
  <si>
    <t>HST</t>
  </si>
  <si>
    <t>Energy Rebate</t>
  </si>
  <si>
    <t>Total Monthly for Electricity</t>
  </si>
  <si>
    <t>Basic Internet monthly</t>
  </si>
  <si>
    <t>Total Monthly for all Utilities</t>
  </si>
  <si>
    <t>Total Monthly for Shelter Costs</t>
  </si>
  <si>
    <t>Clothing MBM 2018 CPI adjusted annual</t>
  </si>
  <si>
    <t>Total Monthly</t>
  </si>
  <si>
    <r>
      <rPr>
        <b/>
        <sz val="11"/>
        <rFont val="Calibri"/>
        <family val="2"/>
        <scheme val="minor"/>
      </rPr>
      <t>Household Essentials</t>
    </r>
    <r>
      <rPr>
        <sz val="11"/>
        <rFont val="Calibri"/>
        <family val="2"/>
        <scheme val="minor"/>
      </rPr>
      <t xml:space="preserve"> (MBM, other, 2018 adj)</t>
    </r>
  </si>
  <si>
    <r>
      <rPr>
        <b/>
        <sz val="10"/>
        <rFont val="Arial"/>
        <family val="2"/>
      </rPr>
      <t>Social Inclusion</t>
    </r>
    <r>
      <rPr>
        <sz val="10"/>
        <rFont val="Arial"/>
        <family val="2"/>
      </rPr>
      <t xml:space="preserve"> (MBM, other, 2018, adj)</t>
    </r>
  </si>
  <si>
    <t>12 monthly bus passes for 1 adult (child free)</t>
  </si>
  <si>
    <t>Private Vehicle (MBM 2018, adjusted)</t>
  </si>
  <si>
    <t>Taxi (1 trip over 12 months)</t>
  </si>
  <si>
    <t>Total Annual</t>
  </si>
  <si>
    <t>Cost per unit</t>
  </si>
  <si>
    <t>Average Student Fees</t>
  </si>
  <si>
    <t>Textbooks</t>
  </si>
  <si>
    <t>Total Annual (2 courses NSCC)</t>
  </si>
  <si>
    <t>Toddler Full Time (2y/o)</t>
  </si>
  <si>
    <t>Before/After School (7y/o)</t>
  </si>
  <si>
    <t>Summer &amp; March Break (7y/o)</t>
  </si>
  <si>
    <t>PD (11), Dec Break (8), Nonstat Holidays (2)</t>
  </si>
  <si>
    <t>Child Care Subsidy (income too high)</t>
  </si>
  <si>
    <t xml:space="preserve">Food Costs </t>
  </si>
  <si>
    <t>Woman age 31-50</t>
  </si>
  <si>
    <t>Man age 31-50</t>
  </si>
  <si>
    <t>Boy age 7</t>
  </si>
  <si>
    <t>Girl age 2</t>
  </si>
  <si>
    <t>Total Monthly 2015 (urban) adj CPI</t>
  </si>
  <si>
    <t xml:space="preserve">Private Health Insurance </t>
  </si>
  <si>
    <t>Basic health insurance per month quoted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</si>
</sst>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164" formatCode="&quot;$&quot;#,##0;[Red]\-&quot;$&quot;#,##0"/>
    <numFmt numFmtId="165" formatCode="_-&quot;$&quot;* #,##0.00_-;\-&quot;$&quot;* #,##0.00_-;_-&quot;$&quot;* &quot;-&quot;??_-;_-@_-"/>
    <numFmt numFmtId="166" formatCode="&quot;$&quot;#,##0.00"/>
    <numFmt numFmtId="167" formatCode="0.0%"/>
    <numFmt numFmtId="168" formatCode="0.000"/>
    <numFmt numFmtId="169" formatCode="#,##0.000"/>
    <numFmt numFmtId="170" formatCode="0.0"/>
  </numFmts>
  <fonts count="47">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b/>
      <sz val="11"/>
      <name val="Arial"/>
      <family val="2"/>
    </font>
    <font>
      <sz val="11"/>
      <color theme="1"/>
      <name val="Calibri"/>
      <family val="2"/>
      <scheme val="minor"/>
    </font>
    <font>
      <sz val="11"/>
      <name val="Calibri"/>
      <family val="2"/>
      <scheme val="minor"/>
    </font>
    <font>
      <b/>
      <sz val="14"/>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b/>
      <sz val="13"/>
      <color theme="1"/>
      <name val="Calibri"/>
      <family val="2"/>
      <scheme val="minor"/>
    </font>
    <font>
      <b/>
      <sz val="10"/>
      <name val="Verdana"/>
      <family val="2"/>
    </font>
    <font>
      <b/>
      <sz val="11"/>
      <color rgb="FF3F3F76"/>
      <name val="Calibri"/>
      <family val="2"/>
      <scheme val="minor"/>
    </font>
    <font>
      <u/>
      <sz val="10"/>
      <name val="Verdana"/>
      <family val="2"/>
    </font>
    <font>
      <u/>
      <sz val="11"/>
      <color theme="1"/>
      <name val="Calibri"/>
      <family val="2"/>
      <scheme val="minor"/>
    </font>
    <font>
      <b/>
      <u/>
      <sz val="12"/>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name val="Calibri"/>
      <family val="2"/>
      <scheme val="minor"/>
    </font>
    <font>
      <sz val="11"/>
      <color theme="0"/>
      <name val="Calibri"/>
      <family val="2"/>
      <scheme val="minor"/>
    </font>
    <font>
      <b/>
      <sz val="11"/>
      <color rgb="FF006100"/>
      <name val="Calibri"/>
      <family val="2"/>
      <scheme val="minor"/>
    </font>
    <font>
      <b/>
      <sz val="9"/>
      <color rgb="FF000000"/>
      <name val="Tahoma"/>
      <family val="2"/>
    </font>
    <font>
      <sz val="9"/>
      <color rgb="FF000000"/>
      <name val="Tahoma"/>
      <family val="2"/>
    </font>
    <font>
      <b/>
      <sz val="12"/>
      <color theme="1"/>
      <name val="Calibri (Body)"/>
    </font>
    <font>
      <sz val="11"/>
      <color rgb="FF000000"/>
      <name val="Calibri"/>
      <family val="2"/>
    </font>
    <font>
      <sz val="10"/>
      <color rgb="FF000000"/>
      <name val="Arial"/>
      <family val="2"/>
    </font>
    <font>
      <sz val="10"/>
      <color theme="1"/>
      <name val="HelveticaNeueLTStd"/>
    </font>
    <font>
      <b/>
      <sz val="8"/>
      <color theme="1"/>
      <name val="HelveticaNeueLTStd"/>
    </font>
    <font>
      <sz val="11"/>
      <color rgb="FF000000"/>
      <name val="Calibri"/>
      <family val="2"/>
      <scheme val="minor"/>
    </font>
    <font>
      <sz val="12"/>
      <color rgb="FF000000"/>
      <name val="Calibri"/>
      <family val="2"/>
      <scheme val="minor"/>
    </font>
    <font>
      <sz val="11"/>
      <color theme="5"/>
      <name val="Helvetica"/>
      <family val="2"/>
    </font>
  </fonts>
  <fills count="9">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double">
        <color rgb="FFFF8001"/>
      </bottom>
      <diagonal/>
    </border>
    <border>
      <left/>
      <right style="thin">
        <color auto="1"/>
      </right>
      <top/>
      <bottom style="double">
        <color rgb="FFFF8001"/>
      </bottom>
      <diagonal/>
    </border>
    <border>
      <left/>
      <right style="medium">
        <color auto="1"/>
      </right>
      <top/>
      <bottom/>
      <diagonal/>
    </border>
    <border>
      <left style="thin">
        <color auto="1"/>
      </left>
      <right/>
      <top style="double">
        <color rgb="FFFF8001"/>
      </top>
      <bottom style="double">
        <color rgb="FFFF8001"/>
      </bottom>
      <diagonal/>
    </border>
    <border>
      <left/>
      <right style="thin">
        <color auto="1"/>
      </right>
      <top style="double">
        <color rgb="FFFF8001"/>
      </top>
      <bottom style="double">
        <color rgb="FFFF800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medium">
        <color auto="1"/>
      </right>
      <top style="thin">
        <color rgb="FF7F7F7F"/>
      </top>
      <bottom style="thin">
        <color rgb="FF7F7F7F"/>
      </bottom>
      <diagonal/>
    </border>
    <border>
      <left style="thin">
        <color rgb="FF7F7F7F"/>
      </left>
      <right style="medium">
        <color auto="1"/>
      </right>
      <top style="thin">
        <color rgb="FF7F7F7F"/>
      </top>
      <bottom/>
      <diagonal/>
    </border>
    <border>
      <left style="thin">
        <color rgb="FF7F7F7F"/>
      </left>
      <right style="medium">
        <color auto="1"/>
      </right>
      <top style="thin">
        <color auto="1"/>
      </top>
      <bottom style="medium">
        <color auto="1"/>
      </bottom>
      <diagonal/>
    </border>
    <border>
      <left style="medium">
        <color auto="1"/>
      </left>
      <right/>
      <top style="thin">
        <color auto="1"/>
      </top>
      <bottom/>
      <diagonal/>
    </border>
    <border>
      <left style="thin">
        <color rgb="FF7F7F7F"/>
      </left>
      <right style="medium">
        <color auto="1"/>
      </right>
      <top style="thin">
        <color auto="1"/>
      </top>
      <bottom style="thin">
        <color rgb="FF7F7F7F"/>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double">
        <color rgb="FFFF8001"/>
      </bottom>
      <diagonal/>
    </border>
    <border>
      <left style="medium">
        <color indexed="64"/>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s>
  <cellStyleXfs count="36">
    <xf numFmtId="0" fontId="0" fillId="0" borderId="0"/>
    <xf numFmtId="165" fontId="1" fillId="0" borderId="0" applyFont="0" applyFill="0" applyBorder="0" applyAlignment="0" applyProtection="0"/>
    <xf numFmtId="0" fontId="9"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5" fontId="1" fillId="0" borderId="0" applyFont="0" applyFill="0" applyBorder="0" applyAlignment="0" applyProtection="0"/>
    <xf numFmtId="0" fontId="21" fillId="4" borderId="13" applyNumberFormat="0" applyAlignment="0" applyProtection="0"/>
    <xf numFmtId="0" fontId="22" fillId="5" borderId="13" applyNumberFormat="0" applyAlignment="0" applyProtection="0"/>
    <xf numFmtId="0" fontId="23" fillId="0" borderId="14" applyNumberFormat="0" applyFill="0" applyAlignment="0" applyProtection="0"/>
    <xf numFmtId="0" fontId="24" fillId="6" borderId="15" applyNumberFormat="0" applyAlignment="0" applyProtection="0"/>
    <xf numFmtId="0" fontId="35" fillId="8" borderId="0" applyNumberFormat="0" applyBorder="0" applyAlignment="0" applyProtection="0"/>
    <xf numFmtId="0" fontId="14" fillId="0" borderId="0" applyNumberFormat="0" applyFill="0" applyBorder="0" applyAlignment="0" applyProtection="0"/>
  </cellStyleXfs>
  <cellXfs count="306">
    <xf numFmtId="0" fontId="0" fillId="0" borderId="0" xfId="0"/>
    <xf numFmtId="0" fontId="2" fillId="0" borderId="0" xfId="0" applyFont="1" applyFill="1"/>
    <xf numFmtId="2" fontId="2"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0" fillId="0" borderId="0" xfId="0" applyFill="1"/>
    <xf numFmtId="0" fontId="2" fillId="0" borderId="0" xfId="0" applyFont="1" applyFill="1" applyBorder="1" applyAlignment="1">
      <alignment horizontal="right"/>
    </xf>
    <xf numFmtId="0" fontId="2" fillId="0" borderId="1" xfId="0" applyFont="1" applyFill="1" applyBorder="1" applyAlignment="1">
      <alignment horizontal="right"/>
    </xf>
    <xf numFmtId="0" fontId="2" fillId="0" borderId="1" xfId="0" applyFont="1" applyFill="1" applyBorder="1" applyAlignment="1">
      <alignment horizontal="right" vertical="center"/>
    </xf>
    <xf numFmtId="168" fontId="2" fillId="0" borderId="0" xfId="0" applyNumberFormat="1" applyFont="1" applyFill="1" applyBorder="1" applyAlignment="1">
      <alignment horizontal="right"/>
    </xf>
    <xf numFmtId="166" fontId="2" fillId="0" borderId="1" xfId="0" applyNumberFormat="1" applyFont="1" applyFill="1" applyBorder="1"/>
    <xf numFmtId="0" fontId="2" fillId="0" borderId="0" xfId="0" applyFont="1" applyFill="1" applyBorder="1" applyAlignment="1">
      <alignment horizontal="center" vertical="center" wrapText="1"/>
    </xf>
    <xf numFmtId="168"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2" fontId="3" fillId="0" borderId="0" xfId="0" applyNumberFormat="1" applyFont="1" applyFill="1" applyBorder="1"/>
    <xf numFmtId="0" fontId="3" fillId="0" borderId="0" xfId="0" applyFont="1" applyFill="1" applyBorder="1"/>
    <xf numFmtId="0" fontId="2" fillId="0" borderId="0" xfId="0" applyFont="1" applyFill="1" applyBorder="1" applyAlignment="1">
      <alignment horizontal="center"/>
    </xf>
    <xf numFmtId="2" fontId="5" fillId="0" borderId="1" xfId="0" applyNumberFormat="1" applyFont="1" applyBorder="1"/>
    <xf numFmtId="166" fontId="2" fillId="0" borderId="1" xfId="2" applyNumberFormat="1" applyFont="1" applyFill="1" applyBorder="1"/>
    <xf numFmtId="0" fontId="2" fillId="0" borderId="4" xfId="0" applyFont="1" applyFill="1" applyBorder="1" applyAlignment="1">
      <alignment horizontal="left"/>
    </xf>
    <xf numFmtId="2" fontId="11" fillId="0" borderId="0" xfId="4" applyNumberFormat="1" applyFill="1" applyBorder="1" applyAlignment="1">
      <alignment horizontal="left"/>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1" xfId="0" applyFont="1" applyFill="1" applyBorder="1" applyAlignment="1">
      <alignment horizontal="right" vertical="center"/>
    </xf>
    <xf numFmtId="166" fontId="3" fillId="0" borderId="1" xfId="0" applyNumberFormat="1" applyFont="1" applyFill="1" applyBorder="1"/>
    <xf numFmtId="166" fontId="3" fillId="0" borderId="1" xfId="2" applyNumberFormat="1" applyFont="1" applyFill="1" applyBorder="1"/>
    <xf numFmtId="166" fontId="3" fillId="0" borderId="1" xfId="0" applyNumberFormat="1"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164" fontId="0" fillId="0" borderId="0" xfId="0" applyNumberFormat="1"/>
    <xf numFmtId="166" fontId="0" fillId="0" borderId="0" xfId="0" applyNumberFormat="1"/>
    <xf numFmtId="167" fontId="2" fillId="0" borderId="0" xfId="2" applyNumberFormat="1" applyFont="1" applyFill="1" applyBorder="1" applyAlignment="1">
      <alignment horizontal="center"/>
    </xf>
    <xf numFmtId="166" fontId="0" fillId="0" borderId="1" xfId="0" applyNumberFormat="1" applyBorder="1"/>
    <xf numFmtId="0" fontId="4" fillId="0" borderId="0" xfId="0" applyFont="1" applyFill="1"/>
    <xf numFmtId="0" fontId="0" fillId="0" borderId="0" xfId="0"/>
    <xf numFmtId="0" fontId="13" fillId="0" borderId="0" xfId="0" applyFont="1"/>
    <xf numFmtId="0" fontId="3" fillId="0" borderId="4" xfId="0" applyFont="1" applyFill="1" applyBorder="1" applyAlignment="1">
      <alignment horizontal="center"/>
    </xf>
    <xf numFmtId="166" fontId="13" fillId="0" borderId="1" xfId="1" applyNumberFormat="1" applyFont="1" applyBorder="1"/>
    <xf numFmtId="166" fontId="0" fillId="0" borderId="1" xfId="1" applyNumberFormat="1" applyFont="1" applyBorder="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7"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6" fontId="3" fillId="0" borderId="2" xfId="0" applyNumberFormat="1" applyFont="1" applyFill="1" applyBorder="1"/>
    <xf numFmtId="167" fontId="3" fillId="0" borderId="12" xfId="5" applyNumberFormat="1" applyFont="1" applyFill="1" applyBorder="1" applyAlignment="1">
      <alignment horizontal="center"/>
    </xf>
    <xf numFmtId="0" fontId="3" fillId="0" borderId="8" xfId="0" applyFont="1" applyFill="1" applyBorder="1" applyAlignment="1">
      <alignment horizontal="left"/>
    </xf>
    <xf numFmtId="0" fontId="2" fillId="0" borderId="4" xfId="0" applyFont="1" applyFill="1" applyBorder="1"/>
    <xf numFmtId="0" fontId="5" fillId="0" borderId="4" xfId="0" applyFont="1" applyBorder="1"/>
    <xf numFmtId="0" fontId="3" fillId="0" borderId="4" xfId="2" applyFont="1" applyFill="1" applyBorder="1"/>
    <xf numFmtId="0" fontId="3" fillId="0" borderId="8" xfId="0" applyFont="1" applyFill="1" applyBorder="1" applyAlignment="1">
      <alignment horizontal="center"/>
    </xf>
    <xf numFmtId="2" fontId="3" fillId="0" borderId="0" xfId="0" applyNumberFormat="1" applyFont="1" applyFill="1" applyBorder="1" applyAlignment="1">
      <alignment horizontal="right"/>
    </xf>
    <xf numFmtId="166" fontId="2" fillId="0" borderId="0" xfId="1" applyNumberFormat="1" applyFont="1" applyFill="1" applyAlignment="1">
      <alignment horizontal="left"/>
    </xf>
    <xf numFmtId="166" fontId="2" fillId="0" borderId="0" xfId="0" applyNumberFormat="1" applyFont="1" applyFill="1"/>
    <xf numFmtId="0" fontId="18" fillId="0" borderId="0" xfId="0" applyFont="1"/>
    <xf numFmtId="0" fontId="19" fillId="0" borderId="0" xfId="6" applyFont="1" applyFill="1" applyAlignment="1">
      <alignment horizontal="left"/>
    </xf>
    <xf numFmtId="0" fontId="19" fillId="0" borderId="1" xfId="0" applyFont="1" applyBorder="1" applyAlignment="1">
      <alignment horizontal="left"/>
    </xf>
    <xf numFmtId="166" fontId="18" fillId="0" borderId="0" xfId="0" applyNumberFormat="1" applyFont="1"/>
    <xf numFmtId="3" fontId="0" fillId="0" borderId="0" xfId="0" applyNumberFormat="1" applyAlignment="1">
      <alignment wrapText="1"/>
    </xf>
    <xf numFmtId="0" fontId="0" fillId="0" borderId="0" xfId="0" applyFont="1"/>
    <xf numFmtId="166" fontId="2" fillId="0" borderId="1" xfId="2" applyNumberFormat="1" applyFont="1" applyFill="1" applyBorder="1" applyAlignment="1">
      <alignment horizontal="right"/>
    </xf>
    <xf numFmtId="166" fontId="8" fillId="0" borderId="0" xfId="0" applyNumberFormat="1" applyFont="1" applyAlignment="1">
      <alignment horizontal="right"/>
    </xf>
    <xf numFmtId="166" fontId="3" fillId="0" borderId="2" xfId="0" applyNumberFormat="1" applyFont="1" applyFill="1" applyBorder="1" applyAlignment="1">
      <alignment horizontal="right"/>
    </xf>
    <xf numFmtId="166" fontId="2" fillId="0" borderId="0" xfId="1" applyNumberFormat="1" applyFont="1" applyFill="1" applyAlignment="1">
      <alignment horizontal="right"/>
    </xf>
    <xf numFmtId="166" fontId="18" fillId="0" borderId="1" xfId="1" applyNumberFormat="1" applyFont="1" applyBorder="1" applyAlignment="1">
      <alignment horizontal="right"/>
    </xf>
    <xf numFmtId="0" fontId="18" fillId="0" borderId="0" xfId="0" applyFont="1" applyAlignment="1">
      <alignment horizontal="right"/>
    </xf>
    <xf numFmtId="166" fontId="18" fillId="0" borderId="1" xfId="0" applyNumberFormat="1" applyFont="1" applyBorder="1" applyAlignment="1">
      <alignment horizontal="right"/>
    </xf>
    <xf numFmtId="0" fontId="16" fillId="0" borderId="0" xfId="3" applyFont="1" applyFill="1" applyBorder="1" applyAlignment="1"/>
    <xf numFmtId="0" fontId="2" fillId="0" borderId="1" xfId="0" applyFont="1" applyFill="1" applyBorder="1" applyAlignment="1">
      <alignment horizontal="left"/>
    </xf>
    <xf numFmtId="0" fontId="2" fillId="0" borderId="3" xfId="2" applyFont="1" applyFill="1" applyBorder="1" applyAlignment="1">
      <alignment horizontal="left"/>
    </xf>
    <xf numFmtId="0" fontId="2" fillId="0" borderId="1" xfId="2" applyFont="1" applyFill="1" applyBorder="1" applyAlignment="1">
      <alignment horizontal="left"/>
    </xf>
    <xf numFmtId="0" fontId="0" fillId="0" borderId="1" xfId="0" applyBorder="1" applyAlignment="1">
      <alignment horizontal="right"/>
    </xf>
    <xf numFmtId="0" fontId="13" fillId="0" borderId="1" xfId="0" applyFont="1" applyBorder="1" applyAlignment="1">
      <alignment horizontal="right"/>
    </xf>
    <xf numFmtId="0" fontId="0" fillId="3" borderId="0" xfId="0" applyFill="1"/>
    <xf numFmtId="0" fontId="20" fillId="0" borderId="0" xfId="0" applyFont="1"/>
    <xf numFmtId="169" fontId="0" fillId="0" borderId="0" xfId="0" applyNumberFormat="1"/>
    <xf numFmtId="9" fontId="0" fillId="0" borderId="0" xfId="5" applyFont="1" applyAlignment="1">
      <alignment wrapText="1"/>
    </xf>
    <xf numFmtId="167" fontId="0" fillId="0" borderId="0" xfId="5" applyNumberFormat="1" applyFont="1" applyAlignment="1">
      <alignment wrapText="1"/>
    </xf>
    <xf numFmtId="0" fontId="3" fillId="0" borderId="1" xfId="0" applyFont="1" applyFill="1" applyBorder="1" applyAlignment="1">
      <alignment horizontal="left"/>
    </xf>
    <xf numFmtId="8" fontId="3" fillId="0" borderId="1" xfId="0" applyNumberFormat="1" applyFont="1" applyFill="1" applyBorder="1" applyAlignment="1">
      <alignment horizontal="left"/>
    </xf>
    <xf numFmtId="0" fontId="18" fillId="0" borderId="1" xfId="0" applyFont="1" applyBorder="1" applyAlignment="1">
      <alignment horizontal="right"/>
    </xf>
    <xf numFmtId="8" fontId="2" fillId="0" borderId="1" xfId="0" applyNumberFormat="1" applyFont="1" applyFill="1" applyBorder="1" applyAlignment="1">
      <alignment horizontal="left"/>
    </xf>
    <xf numFmtId="166" fontId="0" fillId="7" borderId="1" xfId="1" applyNumberFormat="1" applyFont="1" applyFill="1" applyBorder="1"/>
    <xf numFmtId="0" fontId="0" fillId="0" borderId="18" xfId="0" applyBorder="1"/>
    <xf numFmtId="166" fontId="13" fillId="7" borderId="1" xfId="1" applyNumberFormat="1" applyFont="1" applyFill="1" applyBorder="1"/>
    <xf numFmtId="2" fontId="25" fillId="0" borderId="0" xfId="4" applyNumberFormat="1" applyFont="1" applyFill="1" applyBorder="1" applyAlignment="1">
      <alignment horizontal="left"/>
    </xf>
    <xf numFmtId="0" fontId="4" fillId="0" borderId="0" xfId="0" applyFont="1"/>
    <xf numFmtId="0" fontId="13" fillId="0" borderId="19" xfId="0" applyFont="1" applyBorder="1"/>
    <xf numFmtId="0" fontId="13" fillId="0" borderId="20" xfId="0" applyFont="1" applyBorder="1"/>
    <xf numFmtId="0" fontId="13" fillId="0" borderId="21" xfId="0" applyFont="1" applyBorder="1"/>
    <xf numFmtId="0" fontId="3" fillId="0" borderId="19" xfId="0" applyFont="1" applyBorder="1"/>
    <xf numFmtId="0" fontId="3" fillId="0" borderId="20" xfId="0" applyFont="1" applyBorder="1" applyAlignment="1">
      <alignment horizontal="center"/>
    </xf>
    <xf numFmtId="0" fontId="3" fillId="0" borderId="21" xfId="0" applyFont="1" applyBorder="1" applyAlignment="1">
      <alignment horizontal="center"/>
    </xf>
    <xf numFmtId="0" fontId="0" fillId="0" borderId="22" xfId="0" applyBorder="1"/>
    <xf numFmtId="0" fontId="0" fillId="0" borderId="25" xfId="0" applyBorder="1"/>
    <xf numFmtId="0" fontId="23" fillId="0" borderId="14" xfId="32"/>
    <xf numFmtId="0" fontId="22" fillId="5" borderId="25" xfId="31" applyBorder="1"/>
    <xf numFmtId="4" fontId="23" fillId="0" borderId="26" xfId="32" applyNumberFormat="1" applyBorder="1"/>
    <xf numFmtId="4" fontId="23" fillId="0" borderId="27" xfId="32" applyNumberFormat="1" applyBorder="1"/>
    <xf numFmtId="4" fontId="23" fillId="0" borderId="23" xfId="32" applyNumberFormat="1" applyBorder="1"/>
    <xf numFmtId="4" fontId="23" fillId="0" borderId="24" xfId="32" applyNumberFormat="1" applyBorder="1"/>
    <xf numFmtId="4" fontId="0" fillId="0" borderId="16" xfId="0" applyNumberFormat="1" applyBorder="1"/>
    <xf numFmtId="4" fontId="0" fillId="0" borderId="17" xfId="0" applyNumberFormat="1" applyBorder="1"/>
    <xf numFmtId="0" fontId="0" fillId="0" borderId="0" xfId="0" applyBorder="1"/>
    <xf numFmtId="0" fontId="0" fillId="0" borderId="29" xfId="0" applyBorder="1"/>
    <xf numFmtId="0" fontId="0" fillId="0" borderId="30" xfId="0" applyBorder="1"/>
    <xf numFmtId="0" fontId="0" fillId="0" borderId="31" xfId="0" applyBorder="1"/>
    <xf numFmtId="0" fontId="21" fillId="4" borderId="32" xfId="30" applyBorder="1"/>
    <xf numFmtId="0" fontId="21" fillId="4" borderId="25" xfId="30" applyBorder="1"/>
    <xf numFmtId="10" fontId="21" fillId="4" borderId="32" xfId="30" applyNumberFormat="1" applyBorder="1"/>
    <xf numFmtId="9" fontId="21" fillId="4" borderId="33" xfId="30" applyNumberFormat="1" applyBorder="1"/>
    <xf numFmtId="0" fontId="22" fillId="5" borderId="34" xfId="31" applyBorder="1"/>
    <xf numFmtId="0" fontId="13" fillId="0" borderId="22" xfId="0" applyFont="1" applyBorder="1"/>
    <xf numFmtId="0" fontId="27" fillId="4" borderId="25" xfId="30" applyFont="1" applyBorder="1"/>
    <xf numFmtId="0" fontId="22" fillId="5" borderId="25" xfId="31" applyFont="1" applyBorder="1"/>
    <xf numFmtId="0" fontId="13" fillId="0" borderId="29" xfId="0" applyFont="1" applyBorder="1"/>
    <xf numFmtId="0" fontId="22" fillId="0" borderId="31" xfId="32" applyFont="1" applyBorder="1"/>
    <xf numFmtId="0" fontId="28" fillId="0" borderId="22" xfId="0" applyFont="1" applyFill="1" applyBorder="1"/>
    <xf numFmtId="0" fontId="5" fillId="0" borderId="22" xfId="0" applyFont="1" applyFill="1" applyBorder="1" applyAlignment="1">
      <alignment horizontal="left" indent="2"/>
    </xf>
    <xf numFmtId="0" fontId="0" fillId="0" borderId="22" xfId="0" applyBorder="1" applyAlignment="1">
      <alignment horizontal="left" indent="2"/>
    </xf>
    <xf numFmtId="0" fontId="29" fillId="0" borderId="22" xfId="0" applyFont="1" applyBorder="1"/>
    <xf numFmtId="10" fontId="0" fillId="0" borderId="25" xfId="0" applyNumberFormat="1" applyBorder="1"/>
    <xf numFmtId="10" fontId="21" fillId="4" borderId="33" xfId="30" applyNumberFormat="1" applyBorder="1"/>
    <xf numFmtId="0" fontId="0" fillId="0" borderId="35" xfId="0" applyFill="1" applyBorder="1" applyAlignment="1">
      <alignment horizontal="left"/>
    </xf>
    <xf numFmtId="4" fontId="22" fillId="5" borderId="36" xfId="31" applyNumberFormat="1" applyBorder="1"/>
    <xf numFmtId="0" fontId="0" fillId="0" borderId="22" xfId="0" applyFill="1" applyBorder="1" applyAlignment="1">
      <alignment horizontal="left"/>
    </xf>
    <xf numFmtId="4" fontId="22" fillId="5" borderId="33" xfId="31" applyNumberFormat="1" applyBorder="1"/>
    <xf numFmtId="4" fontId="22" fillId="5" borderId="32" xfId="31" applyNumberFormat="1" applyBorder="1"/>
    <xf numFmtId="4" fontId="22" fillId="5" borderId="37" xfId="31" applyNumberFormat="1" applyBorder="1"/>
    <xf numFmtId="0" fontId="0" fillId="0" borderId="28" xfId="0" applyBorder="1"/>
    <xf numFmtId="0" fontId="22" fillId="5" borderId="37" xfId="31" applyBorder="1"/>
    <xf numFmtId="0" fontId="26" fillId="0" borderId="19" xfId="0" applyFont="1" applyFill="1" applyBorder="1" applyAlignment="1">
      <alignment horizontal="center"/>
    </xf>
    <xf numFmtId="0" fontId="26" fillId="0" borderId="21" xfId="0" applyFont="1" applyFill="1" applyBorder="1" applyAlignment="1">
      <alignment horizontal="center"/>
    </xf>
    <xf numFmtId="166" fontId="23" fillId="7" borderId="14" xfId="32" applyNumberFormat="1" applyFill="1" applyAlignment="1">
      <alignment horizontal="right"/>
    </xf>
    <xf numFmtId="0" fontId="29" fillId="0" borderId="19" xfId="0" applyFont="1" applyBorder="1"/>
    <xf numFmtId="0" fontId="0" fillId="0" borderId="20" xfId="0" applyBorder="1"/>
    <xf numFmtId="0" fontId="0" fillId="0" borderId="21" xfId="0" applyBorder="1"/>
    <xf numFmtId="10" fontId="27" fillId="4" borderId="13" xfId="30" applyNumberFormat="1" applyFont="1" applyBorder="1"/>
    <xf numFmtId="2" fontId="22" fillId="5" borderId="38" xfId="31" applyNumberFormat="1" applyBorder="1"/>
    <xf numFmtId="0" fontId="27" fillId="4" borderId="13" xfId="30" applyFont="1" applyBorder="1"/>
    <xf numFmtId="0" fontId="0" fillId="0" borderId="29" xfId="0" applyFill="1" applyBorder="1"/>
    <xf numFmtId="0" fontId="22" fillId="5" borderId="38" xfId="31" applyBorder="1"/>
    <xf numFmtId="0" fontId="29" fillId="0" borderId="0" xfId="0" applyFont="1"/>
    <xf numFmtId="0" fontId="27" fillId="4" borderId="13" xfId="30" applyFont="1"/>
    <xf numFmtId="0" fontId="21" fillId="4" borderId="13" xfId="30"/>
    <xf numFmtId="9" fontId="27" fillId="4" borderId="13" xfId="30" applyNumberFormat="1" applyFont="1"/>
    <xf numFmtId="10" fontId="27" fillId="4" borderId="13" xfId="30" applyNumberFormat="1" applyFont="1"/>
    <xf numFmtId="1" fontId="27" fillId="4" borderId="13" xfId="30" applyNumberFormat="1" applyFont="1"/>
    <xf numFmtId="0" fontId="0" fillId="0" borderId="0" xfId="0" applyFill="1" applyBorder="1"/>
    <xf numFmtId="0" fontId="22" fillId="5" borderId="13" xfId="31"/>
    <xf numFmtId="10" fontId="21" fillId="4" borderId="13" xfId="30" applyNumberFormat="1"/>
    <xf numFmtId="0" fontId="29" fillId="0" borderId="0" xfId="0" applyFont="1" applyFill="1" applyBorder="1"/>
    <xf numFmtId="166" fontId="23" fillId="0" borderId="14" xfId="32" applyNumberFormat="1" applyFill="1" applyAlignment="1">
      <alignment horizontal="right" vertical="center"/>
    </xf>
    <xf numFmtId="166" fontId="22" fillId="5" borderId="13" xfId="31" applyNumberFormat="1" applyAlignment="1">
      <alignment horizontal="right" vertical="center"/>
    </xf>
    <xf numFmtId="166" fontId="23" fillId="0" borderId="42" xfId="32" applyNumberFormat="1" applyFill="1" applyBorder="1" applyAlignment="1">
      <alignment horizontal="right" vertical="center"/>
    </xf>
    <xf numFmtId="0" fontId="3" fillId="0" borderId="43" xfId="0" applyFont="1" applyFill="1" applyBorder="1" applyAlignment="1">
      <alignment horizontal="right" vertical="center"/>
    </xf>
    <xf numFmtId="166" fontId="22" fillId="5" borderId="37" xfId="31" applyNumberFormat="1" applyBorder="1" applyAlignment="1">
      <alignment horizontal="right" vertical="center"/>
    </xf>
    <xf numFmtId="10" fontId="27" fillId="4" borderId="32" xfId="30" applyNumberFormat="1" applyFont="1" applyBorder="1"/>
    <xf numFmtId="0" fontId="13" fillId="0" borderId="0" xfId="0" applyFont="1" applyFill="1" applyBorder="1"/>
    <xf numFmtId="0" fontId="29" fillId="0" borderId="20" xfId="0" applyFont="1" applyBorder="1"/>
    <xf numFmtId="0" fontId="29" fillId="0" borderId="21" xfId="0" applyFont="1" applyBorder="1"/>
    <xf numFmtId="0" fontId="23" fillId="0" borderId="14" xfId="32" applyBorder="1"/>
    <xf numFmtId="0" fontId="23" fillId="0" borderId="42" xfId="32" applyBorder="1"/>
    <xf numFmtId="2" fontId="23" fillId="0" borderId="14" xfId="32" applyNumberFormat="1" applyBorder="1"/>
    <xf numFmtId="2" fontId="23" fillId="0" borderId="42" xfId="32" applyNumberFormat="1" applyBorder="1"/>
    <xf numFmtId="1" fontId="23" fillId="0" borderId="14" xfId="32" applyNumberFormat="1" applyBorder="1"/>
    <xf numFmtId="1" fontId="23" fillId="0" borderId="42" xfId="32" applyNumberFormat="1" applyBorder="1"/>
    <xf numFmtId="166" fontId="23" fillId="0" borderId="42" xfId="32" applyNumberFormat="1" applyBorder="1"/>
    <xf numFmtId="0" fontId="22" fillId="5" borderId="13" xfId="31" applyBorder="1"/>
    <xf numFmtId="0" fontId="0" fillId="0" borderId="22" xfId="0" applyFill="1" applyBorder="1"/>
    <xf numFmtId="2" fontId="22" fillId="5" borderId="13" xfId="31" applyNumberFormat="1" applyBorder="1"/>
    <xf numFmtId="0" fontId="22" fillId="5" borderId="32" xfId="31" applyBorder="1"/>
    <xf numFmtId="0" fontId="13" fillId="0" borderId="29" xfId="0" applyFont="1" applyFill="1" applyBorder="1"/>
    <xf numFmtId="2" fontId="22" fillId="5" borderId="38" xfId="31" applyNumberFormat="1" applyFont="1" applyBorder="1"/>
    <xf numFmtId="2" fontId="22" fillId="5" borderId="37" xfId="31" applyNumberFormat="1" applyFont="1" applyBorder="1"/>
    <xf numFmtId="4" fontId="22" fillId="5" borderId="13" xfId="31" applyNumberFormat="1"/>
    <xf numFmtId="166" fontId="3" fillId="0" borderId="0" xfId="0" applyNumberFormat="1" applyFont="1" applyFill="1" applyBorder="1" applyAlignment="1">
      <alignment horizontal="center"/>
    </xf>
    <xf numFmtId="4" fontId="24" fillId="6" borderId="15" xfId="33" applyNumberFormat="1"/>
    <xf numFmtId="0" fontId="0" fillId="0" borderId="0" xfId="0"/>
    <xf numFmtId="167" fontId="0" fillId="0" borderId="0" xfId="5" applyNumberFormat="1" applyFont="1"/>
    <xf numFmtId="166" fontId="2" fillId="0" borderId="1" xfId="0" applyNumberFormat="1" applyFont="1" applyFill="1" applyBorder="1" applyAlignment="1">
      <alignment horizontal="right"/>
    </xf>
    <xf numFmtId="166" fontId="13" fillId="0" borderId="1" xfId="1" applyNumberFormat="1" applyFont="1" applyBorder="1" applyAlignment="1">
      <alignment horizontal="right"/>
    </xf>
    <xf numFmtId="165" fontId="0" fillId="0" borderId="0" xfId="1" applyFont="1"/>
    <xf numFmtId="0" fontId="0" fillId="0" borderId="0" xfId="0"/>
    <xf numFmtId="0" fontId="0" fillId="0" borderId="0" xfId="0"/>
    <xf numFmtId="0" fontId="22" fillId="5" borderId="0" xfId="31" applyBorder="1"/>
    <xf numFmtId="9" fontId="0" fillId="0" borderId="0" xfId="5" applyFont="1"/>
    <xf numFmtId="0" fontId="9" fillId="2" borderId="0" xfId="2"/>
    <xf numFmtId="0" fontId="9" fillId="2" borderId="13" xfId="2" applyBorder="1"/>
    <xf numFmtId="9" fontId="9" fillId="2" borderId="13" xfId="2" applyNumberFormat="1" applyBorder="1"/>
    <xf numFmtId="10" fontId="9" fillId="2" borderId="13" xfId="2" applyNumberFormat="1" applyBorder="1"/>
    <xf numFmtId="0" fontId="14" fillId="0" borderId="0" xfId="35"/>
    <xf numFmtId="0" fontId="9" fillId="2" borderId="0" xfId="2" applyBorder="1"/>
    <xf numFmtId="9" fontId="9" fillId="2" borderId="0" xfId="2" applyNumberFormat="1" applyBorder="1"/>
    <xf numFmtId="9" fontId="23" fillId="0" borderId="42" xfId="32" applyNumberFormat="1" applyBorder="1"/>
    <xf numFmtId="0" fontId="9" fillId="2" borderId="41" xfId="2" applyBorder="1" applyAlignment="1">
      <alignment horizontal="right" vertical="center"/>
    </xf>
    <xf numFmtId="0" fontId="9" fillId="2" borderId="19" xfId="2" applyBorder="1"/>
    <xf numFmtId="0" fontId="0" fillId="0" borderId="0" xfId="0"/>
    <xf numFmtId="6" fontId="18" fillId="0" borderId="0" xfId="0" applyNumberFormat="1" applyFont="1"/>
    <xf numFmtId="0" fontId="0" fillId="0" borderId="0" xfId="0"/>
    <xf numFmtId="0" fontId="39" fillId="0" borderId="0" xfId="0" applyFont="1"/>
    <xf numFmtId="0" fontId="35" fillId="0" borderId="0" xfId="34" applyFill="1"/>
    <xf numFmtId="3" fontId="21" fillId="4" borderId="32" xfId="30" applyNumberFormat="1" applyBorder="1"/>
    <xf numFmtId="2" fontId="22" fillId="5" borderId="37" xfId="31" applyNumberFormat="1" applyBorder="1"/>
    <xf numFmtId="0" fontId="9" fillId="0" borderId="0" xfId="2" applyFill="1"/>
    <xf numFmtId="0" fontId="9" fillId="0" borderId="19" xfId="2" applyFill="1" applyBorder="1"/>
    <xf numFmtId="0" fontId="36" fillId="0" borderId="19" xfId="2" applyFont="1" applyFill="1" applyBorder="1"/>
    <xf numFmtId="2" fontId="22" fillId="5" borderId="32" xfId="31" applyNumberFormat="1" applyBorder="1"/>
    <xf numFmtId="166" fontId="8" fillId="0" borderId="1" xfId="0" applyNumberFormat="1" applyFont="1" applyFill="1" applyBorder="1" applyAlignment="1">
      <alignment horizontal="right"/>
    </xf>
    <xf numFmtId="166" fontId="2" fillId="0" borderId="0" xfId="2" applyNumberFormat="1" applyFont="1" applyFill="1" applyBorder="1" applyAlignment="1">
      <alignment horizontal="right"/>
    </xf>
    <xf numFmtId="0" fontId="40" fillId="0" borderId="0" xfId="0" applyFont="1" applyBorder="1" applyAlignment="1">
      <alignment horizontal="left"/>
    </xf>
    <xf numFmtId="0" fontId="6" fillId="0" borderId="1" xfId="0" applyFont="1" applyBorder="1" applyAlignment="1">
      <alignment horizontal="left"/>
    </xf>
    <xf numFmtId="166" fontId="3" fillId="0" borderId="1" xfId="1" applyNumberFormat="1" applyFont="1" applyFill="1" applyBorder="1" applyAlignment="1">
      <alignment horizontal="right"/>
    </xf>
    <xf numFmtId="0" fontId="41" fillId="0" borderId="0" xfId="0" applyFont="1"/>
    <xf numFmtId="166" fontId="34" fillId="0" borderId="1" xfId="0" applyNumberFormat="1" applyFont="1" applyFill="1" applyBorder="1" applyAlignment="1">
      <alignment horizontal="right"/>
    </xf>
    <xf numFmtId="0" fontId="18" fillId="0" borderId="1" xfId="0" applyFont="1" applyBorder="1"/>
    <xf numFmtId="0" fontId="2" fillId="0" borderId="1" xfId="2" applyFont="1" applyFill="1" applyBorder="1"/>
    <xf numFmtId="0" fontId="42" fillId="0" borderId="0" xfId="0" applyFont="1"/>
    <xf numFmtId="0" fontId="43" fillId="0" borderId="0" xfId="0" applyFont="1"/>
    <xf numFmtId="0" fontId="0" fillId="0" borderId="44" xfId="0" applyBorder="1"/>
    <xf numFmtId="0" fontId="18" fillId="0" borderId="44" xfId="34" applyFont="1" applyFill="1" applyBorder="1"/>
    <xf numFmtId="0" fontId="0" fillId="0" borderId="44" xfId="0" applyFill="1" applyBorder="1"/>
    <xf numFmtId="9" fontId="0" fillId="0" borderId="44" xfId="0" applyNumberFormat="1" applyBorder="1"/>
    <xf numFmtId="0" fontId="22" fillId="5" borderId="44" xfId="31" applyBorder="1"/>
    <xf numFmtId="0" fontId="44" fillId="0" borderId="0" xfId="0" applyFont="1" applyAlignment="1">
      <alignment vertical="center"/>
    </xf>
    <xf numFmtId="0" fontId="2" fillId="0" borderId="1" xfId="0" applyFont="1" applyBorder="1" applyAlignment="1">
      <alignment horizontal="left"/>
    </xf>
    <xf numFmtId="166" fontId="19" fillId="0" borderId="1" xfId="0" applyNumberFormat="1" applyFont="1" applyBorder="1" applyAlignment="1">
      <alignment horizontal="right"/>
    </xf>
    <xf numFmtId="0" fontId="34" fillId="0" borderId="1" xfId="0" applyFont="1" applyBorder="1" applyAlignment="1">
      <alignment horizontal="left"/>
    </xf>
    <xf numFmtId="0" fontId="3" fillId="0" borderId="1" xfId="2" applyFont="1" applyFill="1" applyBorder="1" applyAlignment="1">
      <alignment horizontal="left"/>
    </xf>
    <xf numFmtId="166" fontId="18" fillId="0" borderId="0" xfId="0" applyNumberFormat="1" applyFont="1" applyAlignment="1">
      <alignment horizontal="right"/>
    </xf>
    <xf numFmtId="0" fontId="18" fillId="0" borderId="1" xfId="0" applyFont="1" applyBorder="1" applyAlignment="1">
      <alignment horizontal="left"/>
    </xf>
    <xf numFmtId="166" fontId="18" fillId="0" borderId="1" xfId="1" applyNumberFormat="1" applyFont="1" applyBorder="1"/>
    <xf numFmtId="0" fontId="3" fillId="0" borderId="1" xfId="0" applyFont="1" applyBorder="1" applyAlignment="1">
      <alignment horizontal="left"/>
    </xf>
    <xf numFmtId="166" fontId="3" fillId="0" borderId="1" xfId="1" applyNumberFormat="1" applyFont="1" applyBorder="1" applyAlignment="1">
      <alignment horizontal="right"/>
    </xf>
    <xf numFmtId="164" fontId="0" fillId="0" borderId="10" xfId="0" applyNumberFormat="1" applyBorder="1"/>
    <xf numFmtId="0" fontId="0" fillId="0" borderId="1" xfId="0" applyBorder="1"/>
    <xf numFmtId="4" fontId="2" fillId="0" borderId="3" xfId="0" applyNumberFormat="1" applyFont="1" applyFill="1" applyBorder="1" applyAlignment="1">
      <alignment horizontal="right"/>
    </xf>
    <xf numFmtId="166" fontId="23" fillId="0" borderId="1" xfId="32" applyNumberFormat="1" applyFill="1" applyBorder="1"/>
    <xf numFmtId="4" fontId="23" fillId="0" borderId="3" xfId="32" applyNumberFormat="1" applyFill="1" applyBorder="1" applyAlignment="1">
      <alignment horizontal="right"/>
    </xf>
    <xf numFmtId="166" fontId="23" fillId="0" borderId="1" xfId="32" applyNumberFormat="1" applyFill="1" applyBorder="1" applyAlignment="1">
      <alignment horizontal="right"/>
    </xf>
    <xf numFmtId="0" fontId="23" fillId="0" borderId="1" xfId="32" applyBorder="1"/>
    <xf numFmtId="0" fontId="22" fillId="5" borderId="1" xfId="31" applyBorder="1"/>
    <xf numFmtId="4" fontId="2" fillId="0" borderId="12" xfId="0" applyNumberFormat="1" applyFont="1" applyFill="1" applyBorder="1"/>
    <xf numFmtId="0" fontId="2" fillId="0" borderId="1" xfId="0" applyFont="1" applyFill="1" applyBorder="1"/>
    <xf numFmtId="166" fontId="21" fillId="4" borderId="1" xfId="30" applyNumberFormat="1" applyBorder="1"/>
    <xf numFmtId="4" fontId="23" fillId="0" borderId="1" xfId="32" applyNumberFormat="1" applyFill="1" applyBorder="1"/>
    <xf numFmtId="4" fontId="23" fillId="0" borderId="1" xfId="32" applyNumberFormat="1" applyBorder="1"/>
    <xf numFmtId="166" fontId="19" fillId="0" borderId="1" xfId="0" applyNumberFormat="1" applyFont="1" applyFill="1" applyBorder="1" applyAlignment="1">
      <alignment horizontal="right"/>
    </xf>
    <xf numFmtId="0" fontId="45" fillId="0" borderId="0" xfId="0" applyFont="1"/>
    <xf numFmtId="9" fontId="18" fillId="0" borderId="0" xfId="5" applyFont="1"/>
    <xf numFmtId="0" fontId="2" fillId="0" borderId="3" xfId="0" applyFont="1" applyFill="1" applyBorder="1" applyAlignment="1">
      <alignment horizontal="left"/>
    </xf>
    <xf numFmtId="0" fontId="11" fillId="0" borderId="0" xfId="4" applyFill="1" applyBorder="1" applyAlignment="1">
      <alignment horizontal="left"/>
    </xf>
    <xf numFmtId="0" fontId="0" fillId="0" borderId="0" xfId="0" applyAlignment="1"/>
    <xf numFmtId="0" fontId="0" fillId="0" borderId="0" xfId="0"/>
    <xf numFmtId="0" fontId="0" fillId="0" borderId="0" xfId="0" applyFont="1" applyAlignment="1">
      <alignment horizontal="left"/>
    </xf>
    <xf numFmtId="0" fontId="18" fillId="0" borderId="0" xfId="0" applyFont="1" applyAlignment="1">
      <alignment horizontal="left"/>
    </xf>
    <xf numFmtId="0" fontId="3" fillId="0" borderId="3" xfId="0" applyFont="1" applyFill="1" applyBorder="1" applyAlignment="1">
      <alignment horizontal="left"/>
    </xf>
    <xf numFmtId="170" fontId="2" fillId="0" borderId="1" xfId="0" applyNumberFormat="1" applyFont="1" applyFill="1" applyBorder="1"/>
    <xf numFmtId="0" fontId="46" fillId="0" borderId="0" xfId="0" applyFont="1"/>
    <xf numFmtId="0" fontId="16" fillId="0" borderId="0" xfId="3" applyFont="1" applyFill="1" applyBorder="1" applyAlignment="1">
      <alignment horizontal="left"/>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0" fontId="11" fillId="0" borderId="0" xfId="4" applyFill="1" applyBorder="1" applyAlignment="1">
      <alignment horizontal="left"/>
    </xf>
    <xf numFmtId="0" fontId="0" fillId="0" borderId="0" xfId="0" applyAlignment="1"/>
    <xf numFmtId="0" fontId="13" fillId="0" borderId="0" xfId="0" applyFont="1" applyAlignment="1">
      <alignment horizontal="center"/>
    </xf>
    <xf numFmtId="0" fontId="20" fillId="0" borderId="19" xfId="0" applyFont="1" applyBorder="1" applyAlignment="1">
      <alignment horizontal="center"/>
    </xf>
    <xf numFmtId="0" fontId="20" fillId="0" borderId="21" xfId="0" applyFont="1" applyBorder="1" applyAlignment="1">
      <alignment horizontal="center"/>
    </xf>
    <xf numFmtId="0" fontId="13" fillId="0" borderId="19" xfId="0" applyFont="1" applyBorder="1" applyAlignment="1">
      <alignment horizontal="center"/>
    </xf>
    <xf numFmtId="0" fontId="13" fillId="0" borderId="21" xfId="0" applyFont="1" applyBorder="1" applyAlignment="1">
      <alignment horizont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0" fillId="0" borderId="0" xfId="0" applyFont="1" applyAlignment="1">
      <alignment horizontal="left"/>
    </xf>
    <xf numFmtId="0" fontId="18" fillId="0" borderId="0" xfId="0" applyFont="1" applyAlignment="1">
      <alignment horizontal="left"/>
    </xf>
    <xf numFmtId="0" fontId="17" fillId="0" borderId="0" xfId="0" applyFont="1" applyFill="1" applyAlignment="1">
      <alignment horizontal="center"/>
    </xf>
    <xf numFmtId="0" fontId="3" fillId="0" borderId="3" xfId="0" applyFont="1" applyFill="1" applyBorder="1" applyAlignment="1">
      <alignment horizontal="left"/>
    </xf>
    <xf numFmtId="2" fontId="3" fillId="0" borderId="1" xfId="0" applyNumberFormat="1" applyFont="1" applyFill="1" applyBorder="1" applyAlignment="1">
      <alignment horizontal="left"/>
    </xf>
    <xf numFmtId="2" fontId="2" fillId="0" borderId="1" xfId="0" applyNumberFormat="1" applyFont="1" applyFill="1" applyBorder="1" applyAlignment="1">
      <alignment horizontal="left"/>
    </xf>
    <xf numFmtId="166" fontId="2" fillId="0" borderId="1" xfId="0" applyNumberFormat="1" applyFont="1" applyFill="1" applyBorder="1" applyAlignment="1">
      <alignment horizontal="right" vertical="center"/>
    </xf>
    <xf numFmtId="2" fontId="2" fillId="0" borderId="1" xfId="0" applyNumberFormat="1" applyFont="1" applyFill="1" applyBorder="1" applyAlignment="1">
      <alignment horizontal="right"/>
    </xf>
    <xf numFmtId="0" fontId="3" fillId="0" borderId="0" xfId="0" applyFont="1" applyFill="1" applyBorder="1" applyAlignment="1">
      <alignment horizontal="left"/>
    </xf>
    <xf numFmtId="166" fontId="3" fillId="0" borderId="0" xfId="0" applyNumberFormat="1" applyFont="1" applyFill="1" applyBorder="1" applyAlignment="1">
      <alignment horizontal="right"/>
    </xf>
    <xf numFmtId="0" fontId="2" fillId="0" borderId="0" xfId="0" applyFont="1" applyFill="1" applyAlignment="1">
      <alignment horizontal="left"/>
    </xf>
    <xf numFmtId="0" fontId="2" fillId="0" borderId="0" xfId="0" applyFont="1" applyFill="1" applyAlignment="1">
      <alignment horizontal="right"/>
    </xf>
    <xf numFmtId="0" fontId="3" fillId="0" borderId="4" xfId="0" applyFont="1" applyFill="1" applyBorder="1" applyAlignment="1">
      <alignment horizontal="left"/>
    </xf>
    <xf numFmtId="0" fontId="3" fillId="0" borderId="0" xfId="0" applyFont="1" applyFill="1" applyAlignment="1">
      <alignment horizontal="left"/>
    </xf>
    <xf numFmtId="166" fontId="3" fillId="0" borderId="1" xfId="0" applyNumberFormat="1" applyFont="1" applyFill="1" applyBorder="1" applyAlignment="1">
      <alignment horizontal="right" vertical="center"/>
    </xf>
    <xf numFmtId="0" fontId="3" fillId="0" borderId="3" xfId="2" applyFont="1" applyFill="1" applyBorder="1" applyAlignment="1">
      <alignment horizontal="left"/>
    </xf>
    <xf numFmtId="0" fontId="3" fillId="0" borderId="4" xfId="2" applyFont="1" applyFill="1" applyBorder="1" applyAlignment="1">
      <alignment horizontal="right"/>
    </xf>
    <xf numFmtId="166" fontId="6" fillId="0" borderId="1" xfId="0" applyNumberFormat="1" applyFont="1" applyBorder="1" applyAlignment="1">
      <alignment horizontal="right"/>
    </xf>
    <xf numFmtId="0" fontId="6" fillId="0" borderId="0" xfId="0" applyFont="1" applyBorder="1" applyAlignment="1">
      <alignment horizontal="left"/>
    </xf>
    <xf numFmtId="0" fontId="6" fillId="0" borderId="1" xfId="0" applyFont="1" applyBorder="1" applyAlignment="1">
      <alignment horizontal="right"/>
    </xf>
    <xf numFmtId="0" fontId="6" fillId="0" borderId="0" xfId="0" applyFont="1" applyBorder="1" applyAlignment="1">
      <alignment horizontal="right"/>
    </xf>
  </cellXfs>
  <cellStyles count="36">
    <cellStyle name="Accent6" xfId="34" builtinId="49"/>
    <cellStyle name="Calculation" xfId="31" builtinId="22"/>
    <cellStyle name="Check Cell" xfId="33" builtinId="23"/>
    <cellStyle name="Currency" xfId="1" builtinId="4"/>
    <cellStyle name="Currency 2" xfId="29" xr:uid="{00000000-0005-0000-0000-000003000000}"/>
    <cellStyle name="Followed Hyperlink" xfId="18" builtinId="9" hidden="1"/>
    <cellStyle name="Followed Hyperlink" xfId="12"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8" builtinId="9" hidden="1"/>
    <cellStyle name="Followed Hyperlink" xfId="14" builtinId="9" hidden="1"/>
    <cellStyle name="Followed Hyperlink" xfId="16" builtinId="9" hidden="1"/>
    <cellStyle name="Followed Hyperlink" xfId="20" builtinId="9" hidden="1"/>
    <cellStyle name="Followed Hyperlink" xfId="10" builtinId="9" hidden="1"/>
    <cellStyle name="Good" xfId="2" builtinId="26"/>
    <cellStyle name="Heading 1" xfId="3" builtinId="16"/>
    <cellStyle name="Heading 2" xfId="4" builtinId="17"/>
    <cellStyle name="Hyperlink" xfId="19" builtinId="8" hidden="1"/>
    <cellStyle name="Hyperlink" xfId="23" builtinId="8" hidden="1"/>
    <cellStyle name="Hyperlink" xfId="25" builtinId="8" hidden="1"/>
    <cellStyle name="Hyperlink" xfId="7" builtinId="8" hidden="1"/>
    <cellStyle name="Hyperlink" xfId="27" builtinId="8" hidden="1"/>
    <cellStyle name="Hyperlink" xfId="13" builtinId="8" hidden="1"/>
    <cellStyle name="Hyperlink" xfId="15" builtinId="8" hidden="1"/>
    <cellStyle name="Hyperlink" xfId="17" builtinId="8" hidden="1"/>
    <cellStyle name="Hyperlink" xfId="9" builtinId="8" hidden="1"/>
    <cellStyle name="Hyperlink" xfId="11" builtinId="8" hidden="1"/>
    <cellStyle name="Hyperlink" xfId="21" builtinId="8" hidden="1"/>
    <cellStyle name="Hyperlink" xfId="35" builtinId="8"/>
    <cellStyle name="Input" xfId="30" builtinId="20"/>
    <cellStyle name="Linked Cell" xfId="32" builtinId="24"/>
    <cellStyle name="Normal" xfId="0" builtinId="0"/>
    <cellStyle name="Percent" xfId="5" builtinId="5"/>
    <cellStyle name="Warning Text" xfId="6" builtinId="11"/>
  </cellStyles>
  <dxfs count="22">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7" formatCode="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61</xdr:row>
      <xdr:rowOff>0</xdr:rowOff>
    </xdr:from>
    <xdr:to>
      <xdr:col>2</xdr:col>
      <xdr:colOff>266700</xdr:colOff>
      <xdr:row>61</xdr:row>
      <xdr:rowOff>12700</xdr:rowOff>
    </xdr:to>
    <xdr:pic>
      <xdr:nvPicPr>
        <xdr:cNvPr id="2" name="Picture 1" descr="page10image2643406880">
          <a:extLst>
            <a:ext uri="{FF2B5EF4-FFF2-40B4-BE49-F238E27FC236}">
              <a16:creationId xmlns:a16="http://schemas.microsoft.com/office/drawing/2014/main" id="{1B06AE58-849C-F548-A5F7-26AABAFF4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42545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5</xdr:col>
      <xdr:colOff>914400</xdr:colOff>
      <xdr:row>64</xdr:row>
      <xdr:rowOff>114300</xdr:rowOff>
    </xdr:to>
    <xdr:pic>
      <xdr:nvPicPr>
        <xdr:cNvPr id="3" name="Picture 2">
          <a:extLst>
            <a:ext uri="{FF2B5EF4-FFF2-40B4-BE49-F238E27FC236}">
              <a16:creationId xmlns:a16="http://schemas.microsoft.com/office/drawing/2014/main" id="{603C4FAB-DFFE-1342-884D-F2152DB2711F}"/>
            </a:ext>
          </a:extLst>
        </xdr:cNvPr>
        <xdr:cNvPicPr>
          <a:picLocks noChangeAspect="1"/>
        </xdr:cNvPicPr>
      </xdr:nvPicPr>
      <xdr:blipFill>
        <a:blip xmlns:r="http://schemas.openxmlformats.org/officeDocument/2006/relationships" r:embed="rId2"/>
        <a:stretch>
          <a:fillRect/>
        </a:stretch>
      </xdr:blipFill>
      <xdr:spPr>
        <a:xfrm>
          <a:off x="0" y="9906000"/>
          <a:ext cx="7251700" cy="2400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D16" totalsRowShown="0" headerRowBorderDxfId="20" tableBorderDxfId="21">
  <autoFilter ref="A5:D16" xr:uid="{00000000-0009-0000-0100-000003000000}"/>
  <tableColumns count="4">
    <tableColumn id="1" xr3:uid="{00000000-0010-0000-0100-000001000000}" name="Item" dataDxfId="19" dataCellStyle="Good"/>
    <tableColumn id="2" xr3:uid="{00000000-0010-0000-0100-000002000000}" name="Monthly" dataDxfId="18" dataCellStyle="Good"/>
    <tableColumn id="3" xr3:uid="{00000000-0010-0000-0100-000003000000}" name="Annually" dataDxfId="17" dataCellStyle="Good"/>
    <tableColumn id="4" xr3:uid="{00000000-0010-0000-0100-000004000000}" name="% of Total" dataDxfId="16" dataCellStyle="Goo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9:D26" totalsRowShown="0" headerRowDxfId="15" headerRowBorderDxfId="13" tableBorderDxfId="14" totalsRowBorderDxfId="12">
  <autoFilter ref="A19:D26" xr:uid="{00000000-0009-0000-0100-000004000000}"/>
  <tableColumns count="4">
    <tableColumn id="1" xr3:uid="{00000000-0010-0000-0200-000001000000}" name="Income" dataDxfId="11" dataCellStyle="Good"/>
    <tableColumn id="2" xr3:uid="{00000000-0010-0000-0200-000002000000}" name="Monthly" dataDxfId="10" dataCellStyle="Good"/>
    <tableColumn id="3" xr3:uid="{00000000-0010-0000-0200-000003000000}" name="Annually" dataDxfId="9" dataCellStyle="Good"/>
    <tableColumn id="4" xr3:uid="{00000000-0010-0000-0200-000004000000}" name="No CBB at FNI" dataDxfId="8">
      <calculatedColumnFormula>'Gov Transfers '!I39</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5:D47" totalsRowShown="0" headerRowDxfId="7" headerRowBorderDxfId="5" tableBorderDxfId="6" totalsRowBorderDxfId="4">
  <autoFilter ref="A35:D47" xr:uid="{00000000-0009-0000-0100-000005000000}"/>
  <tableColumns count="4">
    <tableColumn id="1" xr3:uid="{00000000-0010-0000-0300-000001000000}" name="Column1" dataDxfId="3"/>
    <tableColumn id="2" xr3:uid="{00000000-0010-0000-0300-000002000000}" name="Parent 1" dataDxfId="2"/>
    <tableColumn id="3" xr3:uid="{00000000-0010-0000-0300-000003000000}" name="Parent 2" dataDxfId="1"/>
    <tableColumn id="4" xr3:uid="{00000000-0010-0000-0300-000004000000}" name="Total" dataDxfId="0">
      <calculatedColumnFormula>B36+C36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canada.ca/en/revenue-agency/services/child-family-benefits/canada-child-benefit-overview/canada-child-benefit-calculation-sheets.html" TargetMode="External"/><Relationship Id="rId1" Type="http://schemas.openxmlformats.org/officeDocument/2006/relationships/hyperlink" Target="https://www.canada.ca/en/revenue-agency/services/child-family-benefits/canada-child-benefit-overview/canada-child-benefit-ccb-calculation-sheet-july-2019-june-2020-payments-2018-tax-year.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canada.ca/content/dam/cra-arc/formspubs/pbg/5003-d/5003-d-19e.pdf" TargetMode="External"/><Relationship Id="rId7" Type="http://schemas.openxmlformats.org/officeDocument/2006/relationships/vmlDrawing" Target="../drawings/vmlDrawing2.vml"/><Relationship Id="rId2" Type="http://schemas.openxmlformats.org/officeDocument/2006/relationships/hyperlink" Target="https://www.canada.ca/en/revenue-agency/services/forms-publications/tax-packages-years/general-income-tax-benefit-package/nova-scotia/5003-pc/information-residents-nova-scotia.html" TargetMode="External"/><Relationship Id="rId1" Type="http://schemas.openxmlformats.org/officeDocument/2006/relationships/hyperlink" Target="https://www.canada.ca/en/revenue-agency/services/tax/individuals/frequently-asked-questions-individuals/canadian-income-tax-rates-individuals-current-previous-years.html" TargetMode="External"/><Relationship Id="rId6" Type="http://schemas.openxmlformats.org/officeDocument/2006/relationships/printerSettings" Target="../printerSettings/printerSettings2.bin"/><Relationship Id="rId5" Type="http://schemas.openxmlformats.org/officeDocument/2006/relationships/hyperlink" Target="https://www.canada.ca/en/revenue-agency/services/child-family-benefits/canada-workers-benefit/calculation-families-canada.html" TargetMode="External"/><Relationship Id="rId4" Type="http://schemas.openxmlformats.org/officeDocument/2006/relationships/hyperlink" Target="https://www.canada.ca/content/dam/cra-arc/formspubs/pbg/5003-s11/5003-s11-19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zoomScale="162" zoomScaleNormal="162" zoomScalePageLayoutView="87" workbookViewId="0">
      <selection activeCell="B37" sqref="B37"/>
    </sheetView>
  </sheetViews>
  <sheetFormatPr defaultColWidth="8.85546875" defaultRowHeight="15"/>
  <cols>
    <col min="1" max="1" width="23.85546875" customWidth="1"/>
    <col min="2" max="2" width="13.42578125" customWidth="1"/>
    <col min="3" max="3" width="11.85546875" customWidth="1"/>
    <col min="4" max="4" width="13" customWidth="1"/>
    <col min="5" max="5" width="28.28515625" customWidth="1"/>
    <col min="6" max="6" width="20.42578125" customWidth="1"/>
    <col min="7" max="7" width="20.28515625" customWidth="1"/>
    <col min="8" max="8" width="13.42578125" customWidth="1"/>
    <col min="9" max="9" width="22.140625" bestFit="1" customWidth="1"/>
    <col min="10" max="10" width="13.140625" customWidth="1"/>
    <col min="11" max="11" width="13.28515625" customWidth="1"/>
    <col min="12" max="12" width="19.140625" customWidth="1"/>
    <col min="13" max="13" width="11" customWidth="1"/>
    <col min="14" max="14" width="11.140625" customWidth="1"/>
    <col min="15" max="15" width="14.28515625" customWidth="1"/>
    <col min="16" max="16" width="10.28515625" customWidth="1"/>
    <col min="17" max="17" width="13.140625" customWidth="1"/>
    <col min="18" max="18" width="12" bestFit="1" customWidth="1"/>
    <col min="19" max="19" width="10.28515625" customWidth="1"/>
  </cols>
  <sheetData>
    <row r="1" spans="1:16" ht="21">
      <c r="A1" s="268" t="s">
        <v>0</v>
      </c>
      <c r="B1" s="268"/>
      <c r="C1" s="268"/>
      <c r="D1" s="268"/>
      <c r="E1" s="268"/>
      <c r="F1" s="76"/>
      <c r="G1" s="76"/>
      <c r="H1" s="38"/>
      <c r="I1" s="38"/>
      <c r="J1" s="1"/>
      <c r="K1" s="1"/>
      <c r="L1" s="1"/>
      <c r="M1" s="1"/>
      <c r="N1" s="1"/>
      <c r="O1" s="1"/>
      <c r="P1" s="262"/>
    </row>
    <row r="2" spans="1:16" ht="17.100000000000001">
      <c r="A2" s="272" t="s">
        <v>1</v>
      </c>
      <c r="B2" s="272"/>
      <c r="C2" s="273"/>
      <c r="D2" s="273"/>
      <c r="E2" s="1"/>
      <c r="F2" s="262"/>
      <c r="G2" s="262"/>
      <c r="H2" s="1"/>
      <c r="I2" s="1"/>
      <c r="J2" s="1"/>
      <c r="K2" s="1"/>
      <c r="L2" s="1"/>
      <c r="M2" s="1"/>
      <c r="N2" s="1"/>
      <c r="O2" s="1"/>
      <c r="P2" s="262"/>
    </row>
    <row r="3" spans="1:16" ht="18.95">
      <c r="A3" s="83"/>
      <c r="B3" s="2"/>
      <c r="C3" s="3"/>
      <c r="D3" s="1"/>
      <c r="E3" s="4"/>
      <c r="F3" s="262"/>
      <c r="G3" s="262"/>
      <c r="H3" s="4"/>
      <c r="I3" s="5"/>
      <c r="J3" s="1"/>
      <c r="K3" s="6"/>
      <c r="L3" s="3"/>
      <c r="M3" s="3"/>
      <c r="N3" s="3"/>
      <c r="O3" s="3"/>
      <c r="P3" s="262"/>
    </row>
    <row r="4" spans="1:16" ht="17.100000000000001">
      <c r="A4" s="25" t="s">
        <v>2</v>
      </c>
      <c r="B4" s="25"/>
      <c r="C4" s="25"/>
      <c r="D4" s="25"/>
      <c r="E4" s="4"/>
      <c r="F4" s="262"/>
      <c r="G4" s="262"/>
      <c r="H4" s="4"/>
      <c r="I4" s="262"/>
      <c r="J4" s="262"/>
      <c r="K4" s="262"/>
      <c r="L4" s="262"/>
      <c r="M4" s="262"/>
      <c r="N4" s="262"/>
      <c r="O4" s="3"/>
      <c r="P4" s="262"/>
    </row>
    <row r="5" spans="1:16">
      <c r="A5" s="48" t="s">
        <v>3</v>
      </c>
      <c r="B5" s="49" t="s">
        <v>4</v>
      </c>
      <c r="C5" s="50" t="s">
        <v>5</v>
      </c>
      <c r="D5" s="51" t="s">
        <v>6</v>
      </c>
      <c r="E5" s="7"/>
      <c r="F5" s="262"/>
      <c r="G5" s="262"/>
      <c r="H5" s="262"/>
      <c r="I5" s="262"/>
      <c r="J5" s="262"/>
      <c r="K5" s="262"/>
      <c r="L5" s="262"/>
      <c r="M5" s="262"/>
      <c r="N5" s="262"/>
      <c r="O5" s="262"/>
      <c r="P5" s="262"/>
    </row>
    <row r="6" spans="1:16">
      <c r="A6" s="45" t="s">
        <v>7</v>
      </c>
      <c r="B6" s="69">
        <f>'Family Expenses'!B55</f>
        <v>841.18039083557949</v>
      </c>
      <c r="C6" s="69">
        <f>Table3[[#This Row],[Monthly]]*12</f>
        <v>10094.164690026953</v>
      </c>
      <c r="D6" s="47">
        <f>C6/C16</f>
        <v>0.13831432646162981</v>
      </c>
      <c r="E6" s="9"/>
      <c r="F6" s="195"/>
      <c r="G6" s="262"/>
      <c r="H6" s="262"/>
      <c r="I6" s="262"/>
      <c r="J6" s="262"/>
      <c r="K6" s="262"/>
      <c r="L6" s="262"/>
      <c r="M6" s="262"/>
      <c r="N6" s="262"/>
      <c r="O6" s="262"/>
      <c r="P6" s="35"/>
    </row>
    <row r="7" spans="1:16">
      <c r="A7" s="46" t="s">
        <v>8</v>
      </c>
      <c r="B7" s="69">
        <f>'Family Expenses'!B19</f>
        <v>185.02459839357434</v>
      </c>
      <c r="C7" s="72">
        <f>Table3[[#This Row],[Monthly]]*12</f>
        <v>2220.2951807228919</v>
      </c>
      <c r="D7" s="47">
        <f>C7/C16</f>
        <v>3.0423382409354115E-2</v>
      </c>
      <c r="E7" s="9"/>
      <c r="F7" s="262"/>
      <c r="G7" s="262"/>
      <c r="H7" s="191"/>
      <c r="I7" s="191"/>
      <c r="J7" s="262"/>
      <c r="K7" s="262"/>
      <c r="L7" s="262"/>
      <c r="M7" s="262"/>
      <c r="N7" s="262"/>
      <c r="O7" s="262"/>
      <c r="P7" s="35"/>
    </row>
    <row r="8" spans="1:16">
      <c r="A8" s="45" t="s">
        <v>9</v>
      </c>
      <c r="B8" s="69">
        <f>'Family Expenses'!B15</f>
        <v>1637.3783716666667</v>
      </c>
      <c r="C8" s="69">
        <f>B8*12</f>
        <v>19648.54046</v>
      </c>
      <c r="D8" s="47">
        <f>C8/C16</f>
        <v>0.26923224686080738</v>
      </c>
      <c r="E8" s="12"/>
      <c r="F8" s="262"/>
      <c r="G8" s="262"/>
      <c r="H8" s="191"/>
      <c r="I8" s="191"/>
      <c r="J8" s="262"/>
      <c r="K8" s="262"/>
      <c r="L8" s="262"/>
      <c r="M8" s="262"/>
      <c r="N8" s="262"/>
      <c r="O8" s="262"/>
      <c r="P8" s="262"/>
    </row>
    <row r="9" spans="1:16">
      <c r="A9" s="45" t="s">
        <v>10</v>
      </c>
      <c r="B9" s="69">
        <f>C9/12</f>
        <v>551.9995546648853</v>
      </c>
      <c r="C9" s="69">
        <f>'Family Expenses'!B31</f>
        <v>6623.994655978624</v>
      </c>
      <c r="D9" s="47">
        <f>C9/C16</f>
        <v>9.0764653387547634E-2</v>
      </c>
      <c r="E9" s="14"/>
      <c r="F9" s="262"/>
      <c r="G9" s="262"/>
      <c r="H9" s="191"/>
      <c r="I9" s="191"/>
      <c r="J9" s="262"/>
      <c r="K9" s="262"/>
      <c r="L9" s="262"/>
      <c r="M9" s="262"/>
      <c r="N9" s="262"/>
      <c r="O9" s="262"/>
      <c r="P9" s="262"/>
    </row>
    <row r="10" spans="1:16">
      <c r="A10" s="45" t="s">
        <v>11</v>
      </c>
      <c r="B10" s="69">
        <f>C10/12</f>
        <v>1319.0833333333333</v>
      </c>
      <c r="C10" s="69">
        <f>'Family Expenses'!B47</f>
        <v>15829</v>
      </c>
      <c r="D10" s="47">
        <f>C10/C16</f>
        <v>0.21689535893190309</v>
      </c>
      <c r="E10" s="15"/>
      <c r="F10" s="262"/>
      <c r="G10" s="262"/>
      <c r="H10" s="191"/>
      <c r="I10" s="191"/>
      <c r="J10" s="262"/>
      <c r="K10" s="262"/>
      <c r="L10" s="262"/>
      <c r="M10" s="262"/>
      <c r="N10" s="262"/>
      <c r="O10" s="262"/>
      <c r="P10" s="262"/>
    </row>
    <row r="11" spans="1:16">
      <c r="A11" s="45" t="s">
        <v>12</v>
      </c>
      <c r="B11" s="69">
        <f>'Family Expenses'!B58</f>
        <v>176.33</v>
      </c>
      <c r="C11" s="69">
        <f>B11*12</f>
        <v>2115.96</v>
      </c>
      <c r="D11" s="47">
        <f>C11/C16</f>
        <v>2.8993739572022847E-2</v>
      </c>
      <c r="E11" s="15"/>
      <c r="F11" s="262"/>
      <c r="G11" s="262"/>
      <c r="H11" s="191"/>
      <c r="I11" s="191"/>
      <c r="J11" s="262"/>
      <c r="K11" s="262"/>
      <c r="L11" s="262"/>
      <c r="M11" s="262"/>
      <c r="N11" s="262"/>
      <c r="O11" s="262"/>
      <c r="P11" s="262"/>
    </row>
    <row r="12" spans="1:16">
      <c r="A12" s="45" t="s">
        <v>13</v>
      </c>
      <c r="B12" s="69">
        <f>C12/12</f>
        <v>254.33333333333334</v>
      </c>
      <c r="C12" s="69">
        <f>(C36*C37)*2+(B36*B37)*2</f>
        <v>3052</v>
      </c>
      <c r="D12" s="47">
        <f>C12/C16</f>
        <v>4.1819738167930269E-2</v>
      </c>
      <c r="E12" s="62"/>
      <c r="F12" s="262"/>
      <c r="G12" s="262"/>
      <c r="H12" s="191"/>
      <c r="I12" s="191"/>
      <c r="J12" s="262"/>
      <c r="K12" s="262"/>
      <c r="L12" s="262"/>
      <c r="M12" s="262"/>
      <c r="N12" s="262"/>
      <c r="O12" s="262"/>
      <c r="P12" s="262"/>
    </row>
    <row r="13" spans="1:16">
      <c r="A13" s="45" t="s">
        <v>14</v>
      </c>
      <c r="B13" s="69">
        <f>C13/12</f>
        <v>116.28833333333334</v>
      </c>
      <c r="C13" s="69">
        <f>'Family Expenses'!B38</f>
        <v>1395.46</v>
      </c>
      <c r="D13" s="47">
        <f>C13/C16</f>
        <v>1.9121157216192654E-2</v>
      </c>
      <c r="E13" s="7"/>
      <c r="F13" s="262"/>
      <c r="G13" s="262"/>
      <c r="H13" s="191"/>
      <c r="I13" s="191"/>
      <c r="J13" s="262"/>
      <c r="K13" s="262"/>
      <c r="L13" s="262"/>
      <c r="M13" s="262"/>
      <c r="N13" s="262"/>
      <c r="O13" s="262"/>
      <c r="P13" s="262"/>
    </row>
    <row r="14" spans="1:16">
      <c r="A14" s="45" t="s">
        <v>15</v>
      </c>
      <c r="B14" s="69">
        <f>'Family Expenses'!B22</f>
        <v>600.02388059701491</v>
      </c>
      <c r="C14" s="69">
        <f>Table3[[#This Row],[Monthly]]*12</f>
        <v>7200.2865671641794</v>
      </c>
      <c r="D14" s="47">
        <f>C14/C16</f>
        <v>9.8661238195567311E-2</v>
      </c>
      <c r="E14" s="9"/>
      <c r="F14" s="262"/>
      <c r="G14" s="262"/>
      <c r="H14" s="191"/>
      <c r="I14" s="191"/>
      <c r="J14" s="262"/>
      <c r="K14" s="262"/>
      <c r="L14" s="262"/>
      <c r="M14" s="262"/>
      <c r="N14" s="262"/>
      <c r="O14" s="262"/>
      <c r="P14" s="262"/>
    </row>
    <row r="15" spans="1:16">
      <c r="A15" s="45" t="s">
        <v>16</v>
      </c>
      <c r="B15" s="69">
        <f>C15/12</f>
        <v>400.01592039801</v>
      </c>
      <c r="C15" s="70">
        <f>'Family Expenses'!B24</f>
        <v>4800.1910447761202</v>
      </c>
      <c r="D15" s="47">
        <f>C15/C16</f>
        <v>6.5774158797044888E-2</v>
      </c>
      <c r="E15" s="9"/>
      <c r="F15" s="262"/>
      <c r="G15" s="262"/>
      <c r="H15" s="191"/>
      <c r="I15" s="191"/>
      <c r="J15" s="262"/>
      <c r="K15" s="262"/>
      <c r="L15" s="262"/>
      <c r="M15" s="262"/>
      <c r="N15" s="262"/>
      <c r="O15" s="262"/>
      <c r="P15" s="262"/>
    </row>
    <row r="16" spans="1:16">
      <c r="A16" s="52" t="s">
        <v>17</v>
      </c>
      <c r="B16" s="71">
        <f>SUM(B6:B15)</f>
        <v>6081.6577165557301</v>
      </c>
      <c r="C16" s="71">
        <f>SUM(C6:C15)</f>
        <v>72979.892598668768</v>
      </c>
      <c r="D16" s="54">
        <f>C16/C16</f>
        <v>1</v>
      </c>
      <c r="E16" s="9"/>
      <c r="F16" s="262"/>
      <c r="G16" s="262"/>
      <c r="H16" s="191"/>
      <c r="I16" s="191"/>
      <c r="J16" s="262"/>
      <c r="K16" s="262"/>
      <c r="L16" s="262"/>
      <c r="M16" s="262"/>
      <c r="N16" s="262"/>
      <c r="O16" s="262"/>
      <c r="P16" s="262"/>
    </row>
    <row r="17" spans="1:13">
      <c r="A17" s="4"/>
      <c r="B17" s="17"/>
      <c r="C17" s="17"/>
      <c r="D17" s="17"/>
      <c r="E17" s="9"/>
      <c r="F17" s="262"/>
      <c r="G17" s="262"/>
      <c r="H17" s="191"/>
      <c r="I17" s="191"/>
      <c r="J17" s="262"/>
      <c r="K17" s="262"/>
      <c r="L17" s="262"/>
      <c r="M17" s="262"/>
    </row>
    <row r="18" spans="1:13" ht="17.100000000000001">
      <c r="A18" s="25" t="s">
        <v>18</v>
      </c>
      <c r="B18" s="25"/>
      <c r="C18" s="25"/>
      <c r="D18" s="25"/>
      <c r="E18" s="262"/>
      <c r="F18" s="262"/>
      <c r="G18" s="262"/>
      <c r="H18" s="262"/>
      <c r="I18" s="262"/>
      <c r="J18" s="262"/>
      <c r="K18" s="262"/>
      <c r="L18" s="262"/>
      <c r="M18" s="262"/>
    </row>
    <row r="19" spans="1:13">
      <c r="A19" s="55" t="s">
        <v>19</v>
      </c>
      <c r="B19" s="49" t="s">
        <v>4</v>
      </c>
      <c r="C19" s="50" t="s">
        <v>5</v>
      </c>
      <c r="D19" s="243" t="s">
        <v>20</v>
      </c>
      <c r="E19" s="262"/>
      <c r="F19" s="16"/>
      <c r="G19" s="262"/>
      <c r="H19" s="262"/>
      <c r="I19" s="262"/>
      <c r="J19" s="262"/>
      <c r="K19" s="262"/>
      <c r="L19" s="262"/>
      <c r="M19" s="262"/>
    </row>
    <row r="20" spans="1:13">
      <c r="A20" s="45" t="s">
        <v>21</v>
      </c>
      <c r="B20" s="244">
        <v>0</v>
      </c>
      <c r="C20" s="244">
        <f>B20*12</f>
        <v>0</v>
      </c>
      <c r="D20" s="245"/>
      <c r="E20" s="262"/>
      <c r="F20" s="16"/>
      <c r="G20" s="262"/>
      <c r="H20" s="262"/>
      <c r="I20" s="262"/>
      <c r="J20" s="262"/>
      <c r="K20" s="262"/>
      <c r="L20" s="262"/>
      <c r="M20" s="262"/>
    </row>
    <row r="21" spans="1:13">
      <c r="A21" s="45" t="s">
        <v>22</v>
      </c>
      <c r="B21" s="246">
        <f>'Gov Transfers '!C6</f>
        <v>596.63633333333337</v>
      </c>
      <c r="C21" s="246">
        <f>'Gov Transfers '!D6</f>
        <v>3579.8180000000002</v>
      </c>
      <c r="D21" s="247">
        <f>'Gov Transfers '!I40</f>
        <v>191959.64912280702</v>
      </c>
      <c r="E21" s="262"/>
      <c r="F21" s="16"/>
      <c r="G21" s="262"/>
      <c r="H21" s="262"/>
      <c r="I21" s="262"/>
      <c r="J21" s="262"/>
      <c r="K21" s="262"/>
      <c r="L21" s="262"/>
      <c r="M21" s="262"/>
    </row>
    <row r="22" spans="1:13">
      <c r="A22" s="45" t="s">
        <v>23</v>
      </c>
      <c r="B22" s="246">
        <f>'Gov Transfers '!C7</f>
        <v>623.72333333333324</v>
      </c>
      <c r="C22" s="246">
        <f>'Gov Transfers '!D7</f>
        <v>3742.3399999999997</v>
      </c>
      <c r="D22" s="247">
        <f>'Gov Transfers '!I41</f>
        <v>196192.49122807017</v>
      </c>
      <c r="E22" s="262"/>
      <c r="F22" s="16"/>
      <c r="G22" s="262"/>
      <c r="H22" s="262"/>
      <c r="I22" s="262"/>
      <c r="J22" s="262"/>
      <c r="K22" s="262"/>
      <c r="L22" s="262"/>
      <c r="M22" s="262"/>
    </row>
    <row r="23" spans="1:13">
      <c r="A23" s="45" t="s">
        <v>24</v>
      </c>
      <c r="B23" s="246">
        <f>C23/12</f>
        <v>0</v>
      </c>
      <c r="C23" s="248">
        <f>'Gov Transfers '!D8</f>
        <v>0</v>
      </c>
      <c r="D23" s="245"/>
      <c r="E23" s="262"/>
      <c r="F23" s="16"/>
      <c r="G23" s="262"/>
      <c r="H23" s="262"/>
      <c r="I23" s="262"/>
      <c r="J23" s="262"/>
      <c r="K23" s="262"/>
      <c r="L23" s="262"/>
      <c r="M23" s="262"/>
    </row>
    <row r="24" spans="1:13" s="208" customFormat="1">
      <c r="A24" s="45" t="s">
        <v>25</v>
      </c>
      <c r="B24" s="23">
        <f>Table4[[#This Row],[Annually]]/12</f>
        <v>0</v>
      </c>
      <c r="C24" s="69">
        <f>'Gov Transfers '!J49</f>
        <v>0</v>
      </c>
      <c r="D24" s="245">
        <f>'Gov Transfers '!I43</f>
        <v>0</v>
      </c>
      <c r="E24" s="262"/>
      <c r="F24" s="16"/>
      <c r="G24" s="262"/>
      <c r="H24" s="262"/>
      <c r="I24" s="262"/>
      <c r="J24" s="262"/>
      <c r="K24" s="262"/>
      <c r="L24" s="262"/>
      <c r="M24" s="262"/>
    </row>
    <row r="25" spans="1:13">
      <c r="A25" s="45" t="s">
        <v>26</v>
      </c>
      <c r="B25" s="249">
        <f>Table4[[#This Row],[Annually]]/12</f>
        <v>0</v>
      </c>
      <c r="C25" s="250">
        <f>MAX(0,255+60+60-(D40-30000)*0.05)</f>
        <v>0</v>
      </c>
      <c r="D25" s="245"/>
      <c r="E25" s="262"/>
      <c r="F25" s="1"/>
      <c r="G25" s="262"/>
      <c r="H25" s="262"/>
      <c r="I25" s="262"/>
      <c r="J25" s="262"/>
      <c r="K25" s="262"/>
      <c r="L25" s="262"/>
      <c r="M25" s="262"/>
    </row>
    <row r="26" spans="1:13">
      <c r="A26" s="52" t="s">
        <v>17</v>
      </c>
      <c r="B26" s="53">
        <f>SUM(B20:B25)</f>
        <v>1220.3596666666667</v>
      </c>
      <c r="C26" s="53">
        <f>SUM(C20:C25)</f>
        <v>7322.1579999999994</v>
      </c>
      <c r="D26" s="251"/>
      <c r="E26" s="262"/>
      <c r="F26" s="6"/>
      <c r="G26" s="262"/>
      <c r="H26" s="262"/>
      <c r="I26" s="262"/>
      <c r="J26" s="262"/>
      <c r="K26" s="262"/>
      <c r="L26" s="262"/>
      <c r="M26" s="262"/>
    </row>
    <row r="27" spans="1:13" ht="17.100000000000001">
      <c r="A27" s="4"/>
      <c r="B27" s="17"/>
      <c r="C27" s="17"/>
      <c r="D27" s="25"/>
      <c r="E27" s="262"/>
      <c r="F27" s="1"/>
      <c r="G27" s="262"/>
      <c r="H27" s="262"/>
      <c r="I27" s="262"/>
      <c r="J27" s="262"/>
      <c r="K27" s="262"/>
      <c r="L27" s="262"/>
      <c r="M27" s="262"/>
    </row>
    <row r="28" spans="1:13" ht="17.100000000000001">
      <c r="A28" s="25" t="s">
        <v>27</v>
      </c>
      <c r="B28" s="25"/>
      <c r="C28" s="25"/>
      <c r="D28" s="1"/>
      <c r="E28" s="262"/>
      <c r="F28" s="1"/>
      <c r="G28" s="262"/>
      <c r="H28" s="262"/>
      <c r="I28" s="262"/>
      <c r="J28" s="262"/>
      <c r="K28" s="262"/>
      <c r="L28" s="262"/>
      <c r="M28" s="262"/>
    </row>
    <row r="29" spans="1:13">
      <c r="A29" s="27"/>
      <c r="B29" s="41"/>
      <c r="C29" s="26" t="s">
        <v>5</v>
      </c>
      <c r="D29" s="6"/>
      <c r="E29" s="185"/>
      <c r="F29" s="262"/>
      <c r="G29" s="262"/>
      <c r="H29" s="262"/>
      <c r="I29" s="262"/>
      <c r="J29" s="262"/>
      <c r="K29" s="262"/>
      <c r="L29" s="262"/>
      <c r="M29" s="262"/>
    </row>
    <row r="30" spans="1:13">
      <c r="A30" s="259" t="s">
        <v>28</v>
      </c>
      <c r="B30" s="24"/>
      <c r="C30" s="13">
        <f>C26+D46</f>
        <v>73003.750886639988</v>
      </c>
      <c r="D30" s="1"/>
      <c r="E30" s="5"/>
      <c r="F30" s="262"/>
      <c r="G30" s="262"/>
      <c r="H30" s="262"/>
      <c r="I30" s="262"/>
      <c r="J30" s="262"/>
      <c r="K30" s="262"/>
      <c r="L30" s="262"/>
      <c r="M30" s="262"/>
    </row>
    <row r="31" spans="1:13">
      <c r="A31" s="259" t="s">
        <v>29</v>
      </c>
      <c r="B31" s="24"/>
      <c r="C31" s="13">
        <f>C16</f>
        <v>72979.892598668768</v>
      </c>
      <c r="D31" s="1"/>
      <c r="E31" s="4"/>
      <c r="F31" s="36"/>
      <c r="G31" s="262"/>
      <c r="H31" s="1"/>
      <c r="I31" s="1"/>
      <c r="J31" s="1"/>
      <c r="K31" s="1"/>
      <c r="L31" s="262"/>
      <c r="M31" s="262"/>
    </row>
    <row r="32" spans="1:13">
      <c r="A32" s="265" t="s">
        <v>30</v>
      </c>
      <c r="B32" s="32"/>
      <c r="C32" s="29">
        <f>C30-C31</f>
        <v>23.858287971219397</v>
      </c>
      <c r="D32" s="1"/>
      <c r="E32" s="4"/>
      <c r="F32" s="262"/>
      <c r="G32" s="262"/>
      <c r="H32" s="1"/>
      <c r="I32" s="1"/>
      <c r="J32" s="1"/>
      <c r="K32" s="1"/>
      <c r="L32" s="262"/>
      <c r="M32" s="262"/>
    </row>
    <row r="33" spans="1:15">
      <c r="A33" s="4"/>
      <c r="B33" s="17"/>
      <c r="C33" s="17"/>
      <c r="D33" s="1"/>
      <c r="E33" s="1" t="s">
        <v>31</v>
      </c>
      <c r="F33" s="262"/>
      <c r="G33" s="262"/>
      <c r="H33" s="60"/>
      <c r="I33" s="61"/>
      <c r="J33" s="34"/>
      <c r="K33" s="262"/>
      <c r="L33" s="1"/>
      <c r="M33" s="1"/>
      <c r="N33" s="1"/>
      <c r="O33" s="1"/>
    </row>
    <row r="34" spans="1:15" ht="17.100000000000001">
      <c r="A34" s="25" t="s">
        <v>32</v>
      </c>
      <c r="B34" s="25"/>
      <c r="C34" s="25"/>
      <c r="D34" s="1"/>
      <c r="E34" s="1"/>
      <c r="F34" s="262"/>
      <c r="G34" s="262"/>
      <c r="H34" s="18"/>
      <c r="I34" s="1"/>
      <c r="J34" s="1"/>
      <c r="K34" s="262"/>
      <c r="L34" s="1"/>
      <c r="M34" s="1"/>
      <c r="N34" s="1"/>
      <c r="O34" s="1"/>
    </row>
    <row r="35" spans="1:15">
      <c r="A35" s="59" t="s">
        <v>33</v>
      </c>
      <c r="B35" s="49" t="s">
        <v>34</v>
      </c>
      <c r="C35" s="50" t="s">
        <v>35</v>
      </c>
      <c r="D35" s="51" t="s">
        <v>17</v>
      </c>
      <c r="E35" s="20"/>
      <c r="F35" s="262"/>
      <c r="G35" s="262"/>
      <c r="H35" s="262"/>
      <c r="I35" s="261"/>
      <c r="J35" s="261"/>
      <c r="K35" s="262"/>
      <c r="L35" s="1"/>
      <c r="M35" s="1"/>
      <c r="N35" s="1"/>
      <c r="O35" s="1"/>
    </row>
    <row r="36" spans="1:15">
      <c r="A36" s="56" t="s">
        <v>36</v>
      </c>
      <c r="B36" s="266">
        <v>35</v>
      </c>
      <c r="C36" s="10">
        <v>35</v>
      </c>
      <c r="D36" s="252">
        <f>B36+C36</f>
        <v>70</v>
      </c>
      <c r="E36" s="21"/>
      <c r="F36" s="262"/>
      <c r="G36" s="262"/>
      <c r="H36" s="262"/>
      <c r="I36" s="262"/>
      <c r="J36" s="262"/>
      <c r="K36" s="262"/>
      <c r="L36" s="3"/>
      <c r="M36" s="1"/>
      <c r="N36" s="1"/>
      <c r="O36" s="1"/>
    </row>
    <row r="37" spans="1:15">
      <c r="A37" s="44" t="s">
        <v>37</v>
      </c>
      <c r="B37" s="253">
        <v>21.8</v>
      </c>
      <c r="C37" s="31">
        <f>Table5[[#This Row],[Parent 1]]</f>
        <v>21.8</v>
      </c>
      <c r="D37" s="252"/>
      <c r="E37" s="20"/>
      <c r="F37" s="262"/>
      <c r="G37" s="262"/>
      <c r="H37" s="262"/>
      <c r="I37" s="262"/>
      <c r="J37" s="262"/>
      <c r="K37" s="262"/>
      <c r="L37" s="1"/>
      <c r="M37" s="3"/>
      <c r="N37" s="3"/>
      <c r="O37" s="1"/>
    </row>
    <row r="38" spans="1:15">
      <c r="A38" s="58" t="s">
        <v>38</v>
      </c>
      <c r="B38" s="30">
        <f>(B37*B36)*52</f>
        <v>39676</v>
      </c>
      <c r="C38" s="30">
        <f>B38</f>
        <v>39676</v>
      </c>
      <c r="D38" s="30">
        <f>B38+C38</f>
        <v>79352</v>
      </c>
      <c r="E38" s="4"/>
      <c r="F38" s="262"/>
      <c r="G38" s="262"/>
      <c r="H38" s="262"/>
      <c r="I38" s="262"/>
      <c r="J38" s="262"/>
      <c r="K38" s="262"/>
      <c r="L38" s="1"/>
      <c r="M38" s="1"/>
      <c r="N38" s="1"/>
      <c r="O38" s="1"/>
    </row>
    <row r="39" spans="1:15">
      <c r="A39" s="57" t="s">
        <v>39</v>
      </c>
      <c r="B39" s="23">
        <f>-'Taxes &amp; Credits'!H62</f>
        <v>-13000</v>
      </c>
      <c r="C39" s="22"/>
      <c r="D39" s="22"/>
      <c r="E39" s="4"/>
      <c r="F39" s="262"/>
      <c r="G39" s="262"/>
      <c r="H39" s="19"/>
      <c r="I39" s="262"/>
      <c r="J39" s="262"/>
      <c r="K39" s="262"/>
      <c r="L39" s="1"/>
      <c r="M39" s="1"/>
      <c r="N39" s="1"/>
      <c r="O39" s="1"/>
    </row>
    <row r="40" spans="1:15">
      <c r="A40" s="45" t="s">
        <v>40</v>
      </c>
      <c r="B40" s="23">
        <f>B38+B39</f>
        <v>26676</v>
      </c>
      <c r="C40" s="23">
        <f>C38+C39</f>
        <v>39676</v>
      </c>
      <c r="D40" s="23">
        <f>B40+C40</f>
        <v>66352</v>
      </c>
      <c r="E40" s="21"/>
      <c r="F40" s="17"/>
      <c r="G40" s="2"/>
      <c r="H40" s="17"/>
      <c r="I40" s="262"/>
      <c r="J40" s="262"/>
      <c r="K40" s="262"/>
      <c r="L40" s="1"/>
      <c r="M40" s="1"/>
      <c r="N40" s="1"/>
      <c r="O40" s="1"/>
    </row>
    <row r="41" spans="1:15">
      <c r="A41" s="45" t="s">
        <v>41</v>
      </c>
      <c r="B41" s="246">
        <f>'Taxes &amp; Credits'!C8</f>
        <v>626.88080000000002</v>
      </c>
      <c r="C41" s="246">
        <f>'Taxes &amp; Credits'!D8</f>
        <v>626.88080000000002</v>
      </c>
      <c r="D41" s="23">
        <f t="shared" ref="D41:D47" si="0">B41+C41</f>
        <v>1253.7616</v>
      </c>
      <c r="E41" s="21"/>
      <c r="F41" s="262"/>
      <c r="G41" s="262"/>
      <c r="H41" s="17"/>
      <c r="I41" s="262"/>
      <c r="J41" s="262"/>
      <c r="K41" s="1"/>
      <c r="L41" s="1"/>
      <c r="M41" s="1"/>
      <c r="N41" s="1"/>
      <c r="O41" s="1"/>
    </row>
    <row r="42" spans="1:15">
      <c r="A42" s="45" t="s">
        <v>42</v>
      </c>
      <c r="B42" s="254">
        <f>'Taxes &amp; Credits'!C13</f>
        <v>1899.24</v>
      </c>
      <c r="C42" s="254">
        <f>'Taxes &amp; Credits'!D13</f>
        <v>1899.24</v>
      </c>
      <c r="D42" s="23">
        <f t="shared" si="0"/>
        <v>3798.48</v>
      </c>
      <c r="E42" s="4"/>
      <c r="F42" s="262"/>
      <c r="G42" s="262"/>
      <c r="H42" s="17"/>
      <c r="I42" s="262"/>
      <c r="J42" s="262"/>
      <c r="K42" s="1"/>
      <c r="L42" s="1"/>
      <c r="M42" s="1"/>
      <c r="N42" s="1"/>
      <c r="O42" s="3"/>
    </row>
    <row r="43" spans="1:15">
      <c r="A43" s="45" t="s">
        <v>43</v>
      </c>
      <c r="B43" s="255">
        <f>'Taxes &amp; Credits'!H51</f>
        <v>1431.4798799999994</v>
      </c>
      <c r="C43" s="255">
        <f>'Taxes &amp; Credits'!I51</f>
        <v>3443.1808799999994</v>
      </c>
      <c r="D43" s="23">
        <f t="shared" si="0"/>
        <v>4874.6607599999988</v>
      </c>
      <c r="E43" s="4"/>
      <c r="F43" s="262"/>
      <c r="G43" s="262"/>
      <c r="H43" s="17"/>
      <c r="I43" s="262"/>
      <c r="J43" s="262"/>
      <c r="K43" s="1"/>
      <c r="L43" s="1"/>
      <c r="M43" s="1"/>
      <c r="N43" s="1"/>
      <c r="O43" s="1"/>
    </row>
    <row r="44" spans="1:15">
      <c r="A44" s="45" t="s">
        <v>44</v>
      </c>
      <c r="B44" s="255">
        <f>'Taxes &amp; Credits'!H38</f>
        <v>901.30543368000008</v>
      </c>
      <c r="C44" s="255">
        <f>'Taxes &amp; Credits'!I38</f>
        <v>2842.1993196800004</v>
      </c>
      <c r="D44" s="23">
        <f t="shared" si="0"/>
        <v>3743.5047533600004</v>
      </c>
      <c r="E44" s="2"/>
      <c r="F44" s="262"/>
      <c r="G44" s="262"/>
      <c r="H44" s="17"/>
      <c r="I44" s="262"/>
      <c r="J44" s="262"/>
      <c r="K44" s="1"/>
      <c r="L44" s="1"/>
      <c r="M44" s="1"/>
      <c r="N44" s="1"/>
      <c r="O44" s="1"/>
    </row>
    <row r="45" spans="1:15">
      <c r="A45" s="45" t="s">
        <v>45</v>
      </c>
      <c r="B45" s="249">
        <f>'Taxes &amp; Credits'!C59</f>
        <v>0</v>
      </c>
      <c r="C45" s="249">
        <f>'Taxes &amp; Credits'!C55</f>
        <v>0</v>
      </c>
      <c r="D45" s="23">
        <f t="shared" si="0"/>
        <v>0</v>
      </c>
      <c r="E45" s="1"/>
      <c r="F45" s="262"/>
      <c r="G45" s="262"/>
      <c r="H45" s="262"/>
      <c r="I45" s="262"/>
      <c r="J45" s="262"/>
      <c r="K45" s="1"/>
      <c r="L45" s="1"/>
      <c r="M45" s="1"/>
      <c r="N45" s="1"/>
      <c r="O45" s="1"/>
    </row>
    <row r="46" spans="1:15">
      <c r="A46" s="44" t="s">
        <v>46</v>
      </c>
      <c r="B46" s="29">
        <f>B38-SUM(B41:B45)</f>
        <v>34817.093886319999</v>
      </c>
      <c r="C46" s="29">
        <f>C38-SUM(C41:C45)</f>
        <v>30864.49900032</v>
      </c>
      <c r="D46" s="29">
        <f>B46+C46</f>
        <v>65681.592886639992</v>
      </c>
      <c r="E46" s="1"/>
      <c r="F46" s="35"/>
      <c r="G46" s="262"/>
      <c r="H46" s="4"/>
      <c r="I46" s="262"/>
      <c r="J46" s="1"/>
      <c r="K46" s="1"/>
      <c r="L46" s="262"/>
      <c r="M46" s="262"/>
      <c r="N46" s="262"/>
      <c r="O46" s="1"/>
    </row>
    <row r="47" spans="1:15">
      <c r="A47" s="52" t="s">
        <v>47</v>
      </c>
      <c r="B47" s="29">
        <f>B46/12</f>
        <v>2901.4244905266664</v>
      </c>
      <c r="C47" s="29">
        <f>C46/12</f>
        <v>2572.04158336</v>
      </c>
      <c r="D47" s="29">
        <f t="shared" si="0"/>
        <v>5473.466073886666</v>
      </c>
      <c r="E47" s="1"/>
      <c r="F47" s="1"/>
      <c r="G47" s="1"/>
      <c r="H47" s="4"/>
      <c r="I47" s="1"/>
      <c r="J47" s="1"/>
      <c r="K47" s="1"/>
      <c r="L47" s="262"/>
      <c r="M47" s="262"/>
      <c r="N47" s="262"/>
      <c r="O47" s="1"/>
    </row>
    <row r="48" spans="1:15">
      <c r="A48" s="262"/>
      <c r="B48" s="262"/>
      <c r="C48" s="262"/>
      <c r="D48" s="262"/>
      <c r="E48" s="1"/>
      <c r="F48" s="262"/>
      <c r="G48" s="262"/>
      <c r="H48" s="1"/>
      <c r="I48" s="3"/>
      <c r="J48" s="3"/>
      <c r="K48" s="1"/>
      <c r="L48" s="262"/>
      <c r="M48" s="262"/>
      <c r="N48" s="262"/>
      <c r="O48" s="1"/>
    </row>
    <row r="49" spans="1:15" ht="17.100000000000001">
      <c r="A49" s="260" t="s">
        <v>48</v>
      </c>
      <c r="B49" s="260"/>
      <c r="C49" s="260"/>
      <c r="D49" s="260"/>
      <c r="E49" s="3"/>
      <c r="F49" s="262"/>
      <c r="G49" s="262"/>
      <c r="H49" s="1"/>
      <c r="I49" s="1"/>
      <c r="J49" s="1"/>
      <c r="K49" s="1"/>
      <c r="L49" s="262"/>
      <c r="M49" s="262"/>
      <c r="N49" s="262"/>
      <c r="O49" s="1"/>
    </row>
    <row r="50" spans="1:15">
      <c r="A50" s="269" t="s">
        <v>49</v>
      </c>
      <c r="B50" s="270"/>
      <c r="C50" s="271"/>
      <c r="D50" s="13">
        <f xml:space="preserve"> D38</f>
        <v>79352</v>
      </c>
      <c r="E50" s="262"/>
      <c r="F50" s="262"/>
      <c r="G50" s="262"/>
      <c r="H50" s="1"/>
      <c r="I50" s="1"/>
      <c r="J50" s="1"/>
      <c r="K50" s="1"/>
      <c r="L50" s="262"/>
      <c r="M50" s="262"/>
      <c r="N50" s="262"/>
      <c r="O50" s="1"/>
    </row>
    <row r="51" spans="1:15" ht="17.100000000000001">
      <c r="A51" s="269" t="s">
        <v>50</v>
      </c>
      <c r="B51" s="270"/>
      <c r="C51" s="271"/>
      <c r="D51" s="13">
        <f>SUM(B41:B44)+SUM(C41:C44)</f>
        <v>13670.407113359999</v>
      </c>
      <c r="E51" s="260"/>
      <c r="F51" s="262"/>
      <c r="G51" s="262"/>
      <c r="H51" s="1"/>
      <c r="I51" s="1"/>
      <c r="J51" s="1"/>
      <c r="K51" s="1"/>
      <c r="L51" s="262"/>
      <c r="M51" s="262"/>
      <c r="N51" s="262"/>
      <c r="O51" s="262"/>
    </row>
    <row r="52" spans="1:15">
      <c r="A52" s="269" t="s">
        <v>51</v>
      </c>
      <c r="B52" s="270"/>
      <c r="C52" s="271"/>
      <c r="D52" s="13">
        <f>D50-D51</f>
        <v>65681.592886640006</v>
      </c>
      <c r="E52" s="1"/>
      <c r="F52" s="262"/>
      <c r="G52" s="262"/>
      <c r="H52" s="1"/>
      <c r="I52" s="1"/>
      <c r="J52" s="1"/>
      <c r="K52" s="1"/>
      <c r="L52" s="262"/>
      <c r="M52" s="262"/>
      <c r="N52" s="262"/>
      <c r="O52" s="262"/>
    </row>
    <row r="53" spans="1:15">
      <c r="A53" s="269" t="s">
        <v>52</v>
      </c>
      <c r="B53" s="270"/>
      <c r="C53" s="271"/>
      <c r="D53" s="13">
        <f>C26</f>
        <v>7322.1579999999994</v>
      </c>
      <c r="E53" s="1"/>
      <c r="F53" s="262"/>
      <c r="G53" s="262"/>
      <c r="H53" s="3"/>
      <c r="I53" s="1"/>
      <c r="J53" s="1"/>
      <c r="K53" s="1"/>
      <c r="L53" s="262"/>
      <c r="M53" s="262"/>
      <c r="N53" s="262"/>
      <c r="O53" s="262"/>
    </row>
    <row r="54" spans="1:15">
      <c r="A54" s="269" t="s">
        <v>53</v>
      </c>
      <c r="B54" s="270"/>
      <c r="C54" s="271"/>
      <c r="D54" s="13">
        <f>D52+D53</f>
        <v>73003.750886640002</v>
      </c>
      <c r="E54" s="1"/>
      <c r="F54" s="262"/>
      <c r="G54" s="262"/>
      <c r="H54" s="1"/>
      <c r="I54" s="1"/>
      <c r="J54" s="1"/>
      <c r="K54" s="3"/>
      <c r="L54" s="262"/>
      <c r="M54" s="262"/>
      <c r="N54" s="262"/>
      <c r="O54" s="262"/>
    </row>
    <row r="55" spans="1:15">
      <c r="A55" s="269" t="s">
        <v>54</v>
      </c>
      <c r="B55" s="270"/>
      <c r="C55" s="271"/>
      <c r="D55" s="13">
        <f>C16</f>
        <v>72979.892598668768</v>
      </c>
      <c r="E55" s="1"/>
      <c r="F55" s="262"/>
      <c r="G55" s="1"/>
      <c r="H55" s="1"/>
      <c r="I55" s="1"/>
      <c r="J55" s="1"/>
      <c r="K55" s="1"/>
      <c r="L55" s="262"/>
      <c r="M55" s="262"/>
      <c r="N55" s="262"/>
      <c r="O55" s="262"/>
    </row>
    <row r="56" spans="1:15">
      <c r="A56" s="269" t="s">
        <v>55</v>
      </c>
      <c r="B56" s="270"/>
      <c r="C56" s="271"/>
      <c r="D56" s="13">
        <f>D54-D55</f>
        <v>23.858287971233949</v>
      </c>
      <c r="E56" s="1"/>
      <c r="F56" s="262"/>
      <c r="G56" s="262"/>
      <c r="H56" s="1"/>
      <c r="I56" s="1"/>
      <c r="J56" s="1"/>
      <c r="K56" s="1"/>
      <c r="L56" s="262"/>
      <c r="M56" s="262"/>
      <c r="N56" s="262"/>
      <c r="O56" s="262"/>
    </row>
    <row r="57" spans="1:15">
      <c r="A57" s="262"/>
      <c r="B57" s="262"/>
      <c r="C57" s="262"/>
      <c r="D57" s="262"/>
      <c r="E57" s="1"/>
      <c r="F57" s="262"/>
      <c r="G57" s="262"/>
      <c r="H57" s="1"/>
      <c r="I57" s="1"/>
      <c r="J57" s="1"/>
      <c r="K57" s="1"/>
      <c r="L57" s="262"/>
      <c r="M57" s="262"/>
      <c r="N57" s="262"/>
      <c r="O57" s="262"/>
    </row>
    <row r="58" spans="1:15">
      <c r="A58" s="262"/>
      <c r="B58" s="262"/>
      <c r="C58" s="262"/>
      <c r="D58" s="262"/>
      <c r="E58" s="3"/>
      <c r="F58" s="262"/>
      <c r="G58" s="262"/>
      <c r="H58" s="1"/>
      <c r="I58" s="1"/>
      <c r="J58" s="1"/>
      <c r="K58" s="1"/>
      <c r="L58" s="262"/>
      <c r="M58" s="262"/>
      <c r="N58" s="262"/>
      <c r="O58" s="262"/>
    </row>
    <row r="59" spans="1:15">
      <c r="A59" s="262"/>
      <c r="B59" s="262"/>
      <c r="C59" s="262"/>
      <c r="D59" s="262"/>
      <c r="E59" s="1"/>
      <c r="F59" s="262"/>
      <c r="G59" s="262"/>
      <c r="H59" s="1"/>
      <c r="I59" s="262"/>
      <c r="J59" s="262"/>
      <c r="K59" s="1"/>
      <c r="L59" s="262"/>
      <c r="M59" s="262"/>
      <c r="N59" s="262"/>
      <c r="O59" s="262"/>
    </row>
    <row r="60" spans="1:15">
      <c r="A60" s="262"/>
      <c r="B60" s="262"/>
      <c r="C60" s="262"/>
      <c r="D60" s="262"/>
      <c r="E60" s="262"/>
      <c r="F60" s="262"/>
      <c r="G60" s="262"/>
      <c r="H60" s="1"/>
      <c r="I60" s="262"/>
      <c r="J60" s="262"/>
      <c r="K60" s="1"/>
      <c r="L60" s="262"/>
      <c r="M60" s="262"/>
      <c r="N60" s="262"/>
      <c r="O60" s="262"/>
    </row>
    <row r="61" spans="1:15">
      <c r="A61" s="262"/>
      <c r="B61" s="262"/>
      <c r="C61" s="262"/>
      <c r="D61" s="262"/>
      <c r="E61" s="262"/>
      <c r="F61" s="262"/>
      <c r="G61" s="262"/>
      <c r="H61" s="1"/>
      <c r="I61" s="262"/>
      <c r="J61" s="262"/>
      <c r="K61" s="1"/>
      <c r="L61" s="262"/>
      <c r="M61" s="262"/>
      <c r="N61" s="262"/>
      <c r="O61" s="262"/>
    </row>
    <row r="62" spans="1:15">
      <c r="A62" s="262"/>
      <c r="B62" s="262"/>
      <c r="C62" s="262"/>
      <c r="D62" s="262"/>
      <c r="E62" s="262"/>
      <c r="F62" s="262"/>
      <c r="G62" s="262"/>
      <c r="H62" s="1"/>
      <c r="I62" s="262"/>
      <c r="J62" s="262"/>
      <c r="K62" s="1"/>
      <c r="L62" s="262"/>
      <c r="M62" s="262"/>
      <c r="N62" s="262"/>
      <c r="O62" s="262"/>
    </row>
    <row r="63" spans="1:15">
      <c r="A63" s="262"/>
      <c r="B63" s="262"/>
      <c r="C63" s="262"/>
      <c r="D63" s="262"/>
      <c r="E63" s="262"/>
      <c r="F63" s="262"/>
      <c r="G63" s="262"/>
      <c r="H63" s="262"/>
      <c r="I63" s="262"/>
      <c r="J63" s="262"/>
      <c r="K63" s="1"/>
      <c r="L63" s="262"/>
      <c r="M63" s="262"/>
      <c r="N63" s="262"/>
      <c r="O63" s="262"/>
    </row>
  </sheetData>
  <mergeCells count="9">
    <mergeCell ref="A1:E1"/>
    <mergeCell ref="A56:C56"/>
    <mergeCell ref="A50:C50"/>
    <mergeCell ref="A51:C51"/>
    <mergeCell ref="A52:C52"/>
    <mergeCell ref="A53:C53"/>
    <mergeCell ref="A54:C54"/>
    <mergeCell ref="A55:C55"/>
    <mergeCell ref="A2:D2"/>
  </mergeCells>
  <phoneticPr fontId="7" type="noConversion"/>
  <pageMargins left="0.7" right="0.7" top="0.75" bottom="0.75" header="0.3" footer="0.3"/>
  <pageSetup orientation="portrait" r:id="rId1"/>
  <ignoredErrors>
    <ignoredError sqref="C10 B11 B14" formula="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zoomScale="134" zoomScaleNormal="134" workbookViewId="0">
      <selection activeCell="K9" sqref="K9"/>
    </sheetView>
  </sheetViews>
  <sheetFormatPr defaultColWidth="8.85546875" defaultRowHeight="15"/>
  <cols>
    <col min="1" max="1" width="3.140625" style="39" customWidth="1"/>
    <col min="2" max="2" width="26" style="39" customWidth="1"/>
    <col min="3" max="6" width="8.85546875" style="39"/>
    <col min="7" max="7" width="13.140625" style="39" customWidth="1"/>
    <col min="8" max="8" width="37.85546875" style="39" customWidth="1"/>
    <col min="9" max="9" width="12.28515625" style="39" customWidth="1"/>
    <col min="10" max="10" width="11.42578125" style="39" customWidth="1"/>
    <col min="11" max="11" width="13.7109375" style="39" customWidth="1"/>
    <col min="12" max="12" width="11.7109375" style="39" customWidth="1"/>
    <col min="13" max="16384" width="8.85546875" style="39"/>
  </cols>
  <sheetData>
    <row r="1" spans="2:14" ht="15.95">
      <c r="B1" s="209" t="s">
        <v>56</v>
      </c>
      <c r="C1" s="262"/>
      <c r="D1" s="262"/>
      <c r="E1" s="262"/>
      <c r="F1" s="262"/>
      <c r="G1" s="262"/>
      <c r="H1" s="262"/>
      <c r="I1" s="262"/>
      <c r="J1" s="262"/>
      <c r="K1" s="262"/>
      <c r="L1" s="262"/>
      <c r="M1" s="262"/>
      <c r="N1" s="262"/>
    </row>
    <row r="4" spans="2:14" ht="18" thickBot="1">
      <c r="B4" s="94" t="s">
        <v>18</v>
      </c>
      <c r="C4" s="262"/>
      <c r="D4" s="262"/>
      <c r="E4" s="262"/>
      <c r="F4" s="262"/>
      <c r="G4" s="262"/>
      <c r="H4" s="95" t="s">
        <v>57</v>
      </c>
      <c r="I4" s="262"/>
      <c r="J4" s="262"/>
      <c r="K4" s="262"/>
      <c r="L4" s="262"/>
      <c r="M4" s="262"/>
      <c r="N4" s="262"/>
    </row>
    <row r="5" spans="2:14" ht="15.95" thickBot="1">
      <c r="B5" s="96" t="s">
        <v>19</v>
      </c>
      <c r="C5" s="97" t="s">
        <v>58</v>
      </c>
      <c r="D5" s="97" t="s">
        <v>59</v>
      </c>
      <c r="E5" s="98" t="s">
        <v>60</v>
      </c>
      <c r="F5" s="262"/>
      <c r="G5" s="262"/>
      <c r="H5" s="99" t="s">
        <v>61</v>
      </c>
      <c r="I5" s="100" t="s">
        <v>34</v>
      </c>
      <c r="J5" s="100" t="s">
        <v>35</v>
      </c>
      <c r="K5" s="101" t="s">
        <v>17</v>
      </c>
      <c r="L5" s="262"/>
      <c r="M5" s="262"/>
      <c r="N5" s="262"/>
    </row>
    <row r="6" spans="2:14" ht="17.100000000000001" thickTop="1" thickBot="1">
      <c r="B6" s="102" t="s">
        <v>62</v>
      </c>
      <c r="C6" s="106">
        <f>D6/6</f>
        <v>596.63633333333337</v>
      </c>
      <c r="D6" s="107">
        <f>I38</f>
        <v>3579.8180000000002</v>
      </c>
      <c r="E6" s="103"/>
      <c r="F6" s="262"/>
      <c r="G6" s="262"/>
      <c r="H6" s="93" t="s">
        <v>63</v>
      </c>
      <c r="I6" s="142">
        <f>'LW 2020 Income'!B38</f>
        <v>39676</v>
      </c>
      <c r="J6" s="142">
        <f>'LW 2020 Income'!C38</f>
        <v>39676</v>
      </c>
      <c r="K6" s="142">
        <f>SUM(I6:J6)</f>
        <v>79352</v>
      </c>
      <c r="L6" s="262"/>
      <c r="M6" s="262"/>
      <c r="N6" s="262"/>
    </row>
    <row r="7" spans="2:14" ht="17.100000000000001" thickTop="1" thickBot="1">
      <c r="B7" s="102" t="s">
        <v>64</v>
      </c>
      <c r="C7" s="106">
        <f>D7/6</f>
        <v>623.72333333333324</v>
      </c>
      <c r="D7" s="107">
        <f>I39</f>
        <v>3742.3399999999997</v>
      </c>
      <c r="E7" s="103"/>
      <c r="F7" s="262"/>
      <c r="G7" s="262"/>
      <c r="H7" s="91" t="s">
        <v>65</v>
      </c>
      <c r="I7" s="142">
        <f>'LW 2020 Income'!C10</f>
        <v>15829</v>
      </c>
      <c r="J7" s="142">
        <f>'LW 2020 Income'!C39</f>
        <v>0</v>
      </c>
      <c r="K7" s="142">
        <f t="shared" ref="K7:K15" si="0">SUM(I7:J7)</f>
        <v>15829</v>
      </c>
      <c r="L7" s="262"/>
      <c r="M7" s="262"/>
      <c r="N7" s="262"/>
    </row>
    <row r="8" spans="2:14" ht="17.100000000000001" thickTop="1" thickBot="1">
      <c r="B8" s="102" t="s">
        <v>66</v>
      </c>
      <c r="C8" s="108">
        <f>D8/12</f>
        <v>0</v>
      </c>
      <c r="D8" s="109">
        <f>I49</f>
        <v>0</v>
      </c>
      <c r="E8" s="103"/>
      <c r="F8" s="262"/>
      <c r="G8" s="262"/>
      <c r="H8" s="43" t="s">
        <v>39</v>
      </c>
      <c r="I8" s="142">
        <f>'LW 2020 Income'!B39</f>
        <v>-13000</v>
      </c>
      <c r="J8" s="142">
        <f>J7</f>
        <v>0</v>
      </c>
      <c r="K8" s="142">
        <f t="shared" si="0"/>
        <v>-13000</v>
      </c>
      <c r="L8" s="262"/>
      <c r="M8" s="210"/>
      <c r="N8" s="262"/>
    </row>
    <row r="9" spans="2:14" ht="17.100000000000001" thickTop="1" thickBot="1">
      <c r="B9" s="102" t="s">
        <v>67</v>
      </c>
      <c r="C9" s="186" t="s">
        <v>68</v>
      </c>
      <c r="D9" s="186"/>
      <c r="E9" s="103"/>
      <c r="F9" s="262"/>
      <c r="G9" s="262"/>
      <c r="H9" s="91" t="s">
        <v>69</v>
      </c>
      <c r="I9" s="142">
        <f>'LW 2020 Income'!B40</f>
        <v>26676</v>
      </c>
      <c r="J9" s="142">
        <f>'LW 2020 Income'!C40</f>
        <v>39676</v>
      </c>
      <c r="K9" s="142">
        <f t="shared" si="0"/>
        <v>66352</v>
      </c>
      <c r="L9" s="262"/>
      <c r="M9" s="262"/>
      <c r="N9" s="262"/>
    </row>
    <row r="10" spans="2:14" ht="17.100000000000001" thickTop="1" thickBot="1">
      <c r="B10" s="102" t="s">
        <v>70</v>
      </c>
      <c r="C10" s="186" t="s">
        <v>71</v>
      </c>
      <c r="D10" s="186"/>
      <c r="E10" s="103"/>
      <c r="F10" s="262"/>
      <c r="G10" s="262"/>
      <c r="H10" s="43" t="s">
        <v>41</v>
      </c>
      <c r="I10" s="142">
        <f>'LW 2020 Income'!B41</f>
        <v>626.88080000000002</v>
      </c>
      <c r="J10" s="142">
        <f>'LW 2020 Income'!C41</f>
        <v>626.88080000000002</v>
      </c>
      <c r="K10" s="142">
        <f t="shared" si="0"/>
        <v>1253.7616</v>
      </c>
      <c r="L10" s="262"/>
      <c r="M10" s="262"/>
      <c r="N10" s="262"/>
    </row>
    <row r="11" spans="2:14" ht="17.100000000000001" thickTop="1" thickBot="1">
      <c r="B11" s="102"/>
      <c r="C11" s="110"/>
      <c r="D11" s="111"/>
      <c r="E11" s="103"/>
      <c r="F11" s="262"/>
      <c r="G11" s="262"/>
      <c r="H11" s="91" t="s">
        <v>42</v>
      </c>
      <c r="I11" s="142">
        <f>'LW 2020 Income'!B42</f>
        <v>1899.24</v>
      </c>
      <c r="J11" s="142">
        <f>'LW 2020 Income'!C42</f>
        <v>1899.24</v>
      </c>
      <c r="K11" s="142">
        <f t="shared" si="0"/>
        <v>3798.48</v>
      </c>
      <c r="L11" s="262"/>
      <c r="M11" s="262"/>
      <c r="N11" s="262"/>
    </row>
    <row r="12" spans="2:14" ht="17.100000000000001" thickTop="1" thickBot="1">
      <c r="B12" s="102"/>
      <c r="C12" s="112"/>
      <c r="D12" s="112"/>
      <c r="E12" s="115"/>
      <c r="F12" s="262"/>
      <c r="G12" s="262"/>
      <c r="H12" s="43" t="s">
        <v>43</v>
      </c>
      <c r="I12" s="142">
        <f>'LW 2020 Income'!B43</f>
        <v>1431.4798799999994</v>
      </c>
      <c r="J12" s="142">
        <f>'LW 2020 Income'!C43</f>
        <v>3443.1808799999994</v>
      </c>
      <c r="K12" s="142">
        <f t="shared" si="0"/>
        <v>4874.6607599999988</v>
      </c>
      <c r="L12" s="262"/>
      <c r="M12" s="262"/>
      <c r="N12" s="262"/>
    </row>
    <row r="13" spans="2:14" ht="15.95" thickBot="1">
      <c r="B13" s="113"/>
      <c r="C13" s="114"/>
      <c r="D13" s="114"/>
      <c r="E13" s="262"/>
      <c r="F13" s="262"/>
      <c r="G13" s="262"/>
      <c r="H13" s="91" t="s">
        <v>44</v>
      </c>
      <c r="I13" s="142">
        <f>'LW 2020 Income'!B44</f>
        <v>901.30543368000008</v>
      </c>
      <c r="J13" s="142">
        <f>'LW 2020 Income'!C44</f>
        <v>2842.1993196800004</v>
      </c>
      <c r="K13" s="142">
        <f t="shared" si="0"/>
        <v>3743.5047533600004</v>
      </c>
      <c r="L13" s="262"/>
      <c r="M13" s="262"/>
      <c r="N13" s="262"/>
    </row>
    <row r="14" spans="2:14" ht="15.95" thickBot="1">
      <c r="B14" s="262"/>
      <c r="C14" s="262"/>
      <c r="D14" s="262"/>
      <c r="E14" s="262"/>
      <c r="F14" s="262"/>
      <c r="G14" s="262"/>
      <c r="H14" s="43" t="s">
        <v>45</v>
      </c>
      <c r="I14" s="142">
        <f>'LW 2020 Income'!B45</f>
        <v>0</v>
      </c>
      <c r="J14" s="142">
        <f>'LW 2020 Income'!C45</f>
        <v>0</v>
      </c>
      <c r="K14" s="142">
        <f t="shared" si="0"/>
        <v>0</v>
      </c>
      <c r="L14" s="262"/>
      <c r="M14" s="262"/>
      <c r="N14" s="262"/>
    </row>
    <row r="15" spans="2:14" ht="21" thickTop="1" thickBot="1">
      <c r="B15" s="275" t="s">
        <v>72</v>
      </c>
      <c r="C15" s="276"/>
      <c r="D15" s="262"/>
      <c r="E15" s="262"/>
      <c r="F15" s="262"/>
      <c r="G15" s="262"/>
      <c r="H15" s="91" t="s">
        <v>46</v>
      </c>
      <c r="I15" s="142">
        <f>'LW 2020 Income'!B46</f>
        <v>34817.093886319999</v>
      </c>
      <c r="J15" s="142">
        <f>'LW 2020 Income'!C46</f>
        <v>30864.49900032</v>
      </c>
      <c r="K15" s="142">
        <f t="shared" si="0"/>
        <v>65681.592886639992</v>
      </c>
      <c r="L15" s="262"/>
      <c r="M15" s="261"/>
      <c r="N15" s="261"/>
    </row>
    <row r="16" spans="2:14" ht="17.100000000000001" thickTop="1" thickBot="1">
      <c r="B16" s="102" t="s">
        <v>73</v>
      </c>
      <c r="C16" s="105">
        <f>COUNTIF(C17:C18,"&lt;18")</f>
        <v>2</v>
      </c>
      <c r="D16" s="262"/>
      <c r="E16" s="262"/>
      <c r="F16" s="262"/>
      <c r="G16" s="262"/>
      <c r="H16" s="262"/>
      <c r="I16" s="262"/>
      <c r="J16" s="262"/>
      <c r="K16" s="262"/>
      <c r="L16" s="262"/>
      <c r="M16" s="262"/>
      <c r="N16" s="262"/>
    </row>
    <row r="17" spans="2:14">
      <c r="B17" s="102" t="s">
        <v>74</v>
      </c>
      <c r="C17" s="117">
        <v>2</v>
      </c>
      <c r="D17" s="262"/>
      <c r="E17" s="262"/>
      <c r="F17" s="262"/>
      <c r="G17" s="262"/>
      <c r="H17" s="140" t="s">
        <v>75</v>
      </c>
      <c r="I17" s="141"/>
      <c r="J17" s="262"/>
      <c r="K17" s="262"/>
      <c r="L17" s="262"/>
      <c r="M17" s="262"/>
      <c r="N17" s="262"/>
    </row>
    <row r="18" spans="2:14">
      <c r="B18" s="102" t="s">
        <v>76</v>
      </c>
      <c r="C18" s="117">
        <v>7</v>
      </c>
      <c r="D18" s="262"/>
      <c r="E18" s="262"/>
      <c r="F18" s="262"/>
      <c r="G18" s="262"/>
      <c r="H18" s="126" t="s">
        <v>77</v>
      </c>
      <c r="I18" s="103"/>
      <c r="J18" s="200" t="s">
        <v>78</v>
      </c>
      <c r="K18" s="262"/>
      <c r="L18" s="262"/>
      <c r="M18" s="262"/>
      <c r="N18" s="262"/>
    </row>
    <row r="19" spans="2:14">
      <c r="B19" s="102"/>
      <c r="C19" s="103"/>
      <c r="D19" s="262"/>
      <c r="E19" s="262"/>
      <c r="F19" s="262"/>
      <c r="G19" s="262"/>
      <c r="H19" s="127" t="s">
        <v>79</v>
      </c>
      <c r="I19" s="211">
        <v>30450</v>
      </c>
      <c r="J19" s="262"/>
      <c r="K19" s="262"/>
      <c r="L19" s="262"/>
      <c r="M19" s="262"/>
      <c r="N19" s="262"/>
    </row>
    <row r="20" spans="2:14">
      <c r="B20" s="121" t="s">
        <v>80</v>
      </c>
      <c r="C20" s="122">
        <v>0</v>
      </c>
      <c r="D20" s="40" t="s">
        <v>81</v>
      </c>
      <c r="E20" s="262"/>
      <c r="F20" s="262"/>
      <c r="G20" s="262"/>
      <c r="H20" s="127" t="s">
        <v>82</v>
      </c>
      <c r="I20" s="211">
        <v>65975</v>
      </c>
      <c r="J20" s="262"/>
      <c r="K20" s="262"/>
      <c r="L20" s="262"/>
      <c r="M20" s="262"/>
      <c r="N20" s="262"/>
    </row>
    <row r="21" spans="2:14">
      <c r="B21" s="121" t="s">
        <v>80</v>
      </c>
      <c r="C21" s="123">
        <f>C20*0</f>
        <v>0</v>
      </c>
      <c r="D21" s="40" t="s">
        <v>83</v>
      </c>
      <c r="E21" s="262"/>
      <c r="F21" s="262"/>
      <c r="G21" s="262"/>
      <c r="H21" s="128" t="s">
        <v>84</v>
      </c>
      <c r="I21" s="211">
        <v>6496</v>
      </c>
      <c r="J21" s="262"/>
      <c r="K21" s="262"/>
      <c r="L21" s="262"/>
      <c r="M21" s="262"/>
      <c r="N21" s="262"/>
    </row>
    <row r="22" spans="2:14" ht="15.95" thickBot="1">
      <c r="B22" s="124" t="s">
        <v>80</v>
      </c>
      <c r="C22" s="125">
        <f>C21</f>
        <v>0</v>
      </c>
      <c r="D22" s="40" t="s">
        <v>85</v>
      </c>
      <c r="E22" s="262"/>
      <c r="F22" s="262"/>
      <c r="G22" s="262"/>
      <c r="H22" s="128" t="s">
        <v>86</v>
      </c>
      <c r="I22" s="211">
        <v>5481</v>
      </c>
      <c r="J22" s="262"/>
      <c r="K22" s="262"/>
      <c r="L22" s="262"/>
      <c r="M22" s="261"/>
      <c r="N22" s="261"/>
    </row>
    <row r="23" spans="2:14">
      <c r="B23" s="262"/>
      <c r="C23" s="262"/>
      <c r="D23" s="262"/>
      <c r="E23" s="262"/>
      <c r="F23" s="262"/>
      <c r="G23" s="262"/>
      <c r="H23" s="126" t="s">
        <v>87</v>
      </c>
      <c r="I23" s="103"/>
      <c r="J23" s="262"/>
      <c r="K23" s="210"/>
      <c r="L23" s="262"/>
      <c r="M23" s="262"/>
      <c r="N23" s="262"/>
    </row>
    <row r="24" spans="2:14">
      <c r="B24" s="262"/>
      <c r="C24" s="262"/>
      <c r="D24" s="262"/>
      <c r="E24" s="262"/>
      <c r="F24" s="262"/>
      <c r="G24" s="262"/>
      <c r="H24" s="127" t="s">
        <v>79</v>
      </c>
      <c r="I24" s="211">
        <v>31120</v>
      </c>
      <c r="J24" s="262"/>
      <c r="K24" s="262"/>
      <c r="L24" s="262"/>
      <c r="M24" s="262"/>
      <c r="N24" s="262"/>
    </row>
    <row r="25" spans="2:14">
      <c r="B25" s="262"/>
      <c r="C25" s="262"/>
      <c r="D25" s="262"/>
      <c r="E25" s="262"/>
      <c r="F25" s="262"/>
      <c r="G25" s="262"/>
      <c r="H25" s="127" t="s">
        <v>82</v>
      </c>
      <c r="I25" s="211">
        <v>67426</v>
      </c>
      <c r="J25" s="262"/>
      <c r="K25" s="262"/>
      <c r="L25" s="262"/>
      <c r="M25" s="262"/>
      <c r="N25" s="262"/>
    </row>
    <row r="26" spans="2:14">
      <c r="B26" s="262"/>
      <c r="C26" s="262"/>
      <c r="D26" s="262"/>
      <c r="E26" s="262"/>
      <c r="F26" s="262"/>
      <c r="G26" s="262"/>
      <c r="H26" s="128" t="s">
        <v>84</v>
      </c>
      <c r="I26" s="211">
        <v>6639</v>
      </c>
      <c r="J26" s="262"/>
      <c r="K26" s="262"/>
      <c r="L26" s="262"/>
      <c r="M26" s="262"/>
      <c r="N26" s="262"/>
    </row>
    <row r="27" spans="2:14">
      <c r="B27" s="262"/>
      <c r="C27" s="262"/>
      <c r="D27" s="262"/>
      <c r="E27" s="262"/>
      <c r="F27" s="262"/>
      <c r="G27" s="262"/>
      <c r="H27" s="128" t="s">
        <v>86</v>
      </c>
      <c r="I27" s="211">
        <v>5602</v>
      </c>
      <c r="J27" s="262"/>
      <c r="K27" s="262"/>
      <c r="L27" s="262"/>
      <c r="M27" s="262"/>
      <c r="N27" s="262"/>
    </row>
    <row r="28" spans="2:14" ht="15.95">
      <c r="B28" s="262"/>
      <c r="C28" s="262"/>
      <c r="D28" s="262"/>
      <c r="E28" s="262"/>
      <c r="F28" s="262"/>
      <c r="G28" s="262"/>
      <c r="H28" s="129" t="s">
        <v>88</v>
      </c>
      <c r="I28" s="103"/>
      <c r="J28" s="262"/>
      <c r="K28" s="262"/>
      <c r="L28" s="262"/>
      <c r="M28" s="262"/>
      <c r="N28" s="262"/>
    </row>
    <row r="29" spans="2:14">
      <c r="B29" s="262"/>
      <c r="C29" s="262"/>
      <c r="D29" s="262"/>
      <c r="E29" s="262"/>
      <c r="F29" s="262"/>
      <c r="G29" s="262"/>
      <c r="H29" s="128" t="s">
        <v>89</v>
      </c>
      <c r="I29" s="118">
        <v>7.0000000000000007E-2</v>
      </c>
      <c r="J29" s="262"/>
      <c r="K29" s="262"/>
      <c r="L29" s="262"/>
      <c r="M29" s="262"/>
      <c r="N29" s="262"/>
    </row>
    <row r="30" spans="2:14">
      <c r="B30" s="262"/>
      <c r="C30" s="262"/>
      <c r="D30" s="262"/>
      <c r="E30" s="262"/>
      <c r="F30" s="262"/>
      <c r="G30" s="262"/>
      <c r="H30" s="128" t="s">
        <v>90</v>
      </c>
      <c r="I30" s="166">
        <v>0.13500000000000001</v>
      </c>
      <c r="J30" s="262"/>
      <c r="K30" s="262"/>
      <c r="L30" s="262"/>
      <c r="M30" s="262"/>
      <c r="N30" s="262"/>
    </row>
    <row r="31" spans="2:14">
      <c r="B31" s="262"/>
      <c r="C31" s="262"/>
      <c r="D31" s="262"/>
      <c r="E31" s="262"/>
      <c r="F31" s="262"/>
      <c r="G31" s="262"/>
      <c r="H31" s="128" t="s">
        <v>91</v>
      </c>
      <c r="I31" s="118">
        <v>0.19</v>
      </c>
      <c r="J31" s="262"/>
      <c r="K31" s="262"/>
      <c r="L31" s="262"/>
      <c r="M31" s="262"/>
      <c r="N31" s="262"/>
    </row>
    <row r="32" spans="2:14">
      <c r="B32" s="262"/>
      <c r="C32" s="262"/>
      <c r="D32" s="262"/>
      <c r="E32" s="262"/>
      <c r="F32" s="262"/>
      <c r="G32" s="262"/>
      <c r="H32" s="128" t="s">
        <v>92</v>
      </c>
      <c r="I32" s="118">
        <v>0.23</v>
      </c>
      <c r="J32" s="262"/>
      <c r="K32" s="262"/>
      <c r="L32" s="262"/>
      <c r="M32" s="262"/>
      <c r="N32" s="262"/>
    </row>
    <row r="33" spans="8:11" ht="15.95">
      <c r="H33" s="129" t="s">
        <v>93</v>
      </c>
      <c r="I33" s="130"/>
      <c r="J33" s="262"/>
      <c r="K33" s="262"/>
    </row>
    <row r="34" spans="8:11">
      <c r="H34" s="128" t="s">
        <v>89</v>
      </c>
      <c r="I34" s="118">
        <v>3.2000000000000001E-2</v>
      </c>
      <c r="J34" s="262"/>
      <c r="K34" s="262"/>
    </row>
    <row r="35" spans="8:11">
      <c r="H35" s="128" t="s">
        <v>90</v>
      </c>
      <c r="I35" s="166">
        <v>5.7000000000000002E-2</v>
      </c>
      <c r="J35" s="262"/>
      <c r="K35" s="262"/>
    </row>
    <row r="36" spans="8:11">
      <c r="H36" s="128" t="s">
        <v>91</v>
      </c>
      <c r="I36" s="118">
        <v>0.08</v>
      </c>
      <c r="J36" s="262"/>
      <c r="K36" s="262"/>
    </row>
    <row r="37" spans="8:11">
      <c r="H37" s="128" t="s">
        <v>92</v>
      </c>
      <c r="I37" s="131">
        <v>9.5000000000000001E-2</v>
      </c>
      <c r="J37" s="262"/>
      <c r="K37" s="262"/>
    </row>
    <row r="38" spans="8:11" ht="15.95">
      <c r="H38" s="132" t="s">
        <v>94</v>
      </c>
      <c r="I38" s="133">
        <f>0.5*IF(K9&lt;I19,(I21+I22),IF(K9&lt;I20,(I21+I22-(K9-I19)*I30),(I21+I22-(I20-I19)*I30-(K9-I20)*I35)))</f>
        <v>3579.8180000000002</v>
      </c>
      <c r="J38" s="262"/>
      <c r="K38" s="262"/>
    </row>
    <row r="39" spans="8:11" ht="15.95">
      <c r="H39" s="134" t="s">
        <v>95</v>
      </c>
      <c r="I39" s="135">
        <f>0.5*IF(K9&lt;I24,(I26+I27),IF(K9&lt;I25,(I26+I27-(K9-I24)*I30),(I26+I27-(I25-I24)*I30-(K9-I25)*I35)))</f>
        <v>3742.3399999999997</v>
      </c>
      <c r="J39" s="262"/>
      <c r="K39" s="262"/>
    </row>
    <row r="40" spans="8:11">
      <c r="H40" s="102" t="s">
        <v>96</v>
      </c>
      <c r="I40" s="136">
        <f>(I21+I22-(I20-I19)*I30)/I35+I20</f>
        <v>191959.64912280702</v>
      </c>
      <c r="J40" s="262"/>
      <c r="K40" s="262"/>
    </row>
    <row r="41" spans="8:11" ht="15.95" thickBot="1">
      <c r="H41" s="113" t="s">
        <v>97</v>
      </c>
      <c r="I41" s="137">
        <f>(I26+I27-(I25-I24)*I30)/I35+I25</f>
        <v>196192.49122807017</v>
      </c>
      <c r="J41" s="262"/>
      <c r="K41" s="262"/>
    </row>
    <row r="42" spans="8:11" ht="15.95" thickBot="1">
      <c r="H42" s="200" t="s">
        <v>98</v>
      </c>
      <c r="I42" s="262"/>
      <c r="J42" s="262"/>
      <c r="K42" s="262"/>
    </row>
    <row r="43" spans="8:11" ht="15.95" thickBot="1">
      <c r="H43" s="277" t="s">
        <v>99</v>
      </c>
      <c r="I43" s="278"/>
      <c r="J43" s="228" t="s">
        <v>100</v>
      </c>
      <c r="K43" s="262"/>
    </row>
    <row r="44" spans="8:11" ht="15.95" thickBot="1">
      <c r="H44" s="102" t="s">
        <v>101</v>
      </c>
      <c r="I44" s="116">
        <v>290</v>
      </c>
      <c r="J44" s="228">
        <v>284</v>
      </c>
      <c r="K44" s="262" t="s">
        <v>102</v>
      </c>
    </row>
    <row r="45" spans="8:11" ht="15.95" thickBot="1">
      <c r="H45" s="102" t="s">
        <v>103</v>
      </c>
      <c r="I45" s="116">
        <v>290</v>
      </c>
      <c r="J45" s="229">
        <v>284</v>
      </c>
      <c r="K45" s="262"/>
    </row>
    <row r="46" spans="8:11" ht="15.95" thickBot="1">
      <c r="H46" s="102" t="s">
        <v>104</v>
      </c>
      <c r="I46" s="116">
        <v>153</v>
      </c>
      <c r="J46" s="228">
        <v>149</v>
      </c>
      <c r="K46" s="262"/>
    </row>
    <row r="47" spans="8:11" ht="15.95" thickBot="1">
      <c r="H47" s="102" t="s">
        <v>105</v>
      </c>
      <c r="I47" s="116">
        <v>37789</v>
      </c>
      <c r="J47" s="230">
        <v>36976</v>
      </c>
      <c r="K47" s="262"/>
    </row>
    <row r="48" spans="8:11" ht="15.95" thickBot="1">
      <c r="H48" s="102" t="s">
        <v>106</v>
      </c>
      <c r="I48" s="119">
        <v>0.05</v>
      </c>
      <c r="J48" s="231">
        <v>0.05</v>
      </c>
      <c r="K48" s="262" t="s">
        <v>107</v>
      </c>
    </row>
    <row r="49" spans="1:10" ht="15.95" thickBot="1">
      <c r="A49" s="262"/>
      <c r="B49" s="262"/>
      <c r="C49" s="262"/>
      <c r="D49" s="262"/>
      <c r="E49" s="262"/>
      <c r="F49" s="262"/>
      <c r="G49" s="262"/>
      <c r="H49" s="138" t="s">
        <v>108</v>
      </c>
      <c r="I49" s="120">
        <f>MAX(0,(I44+I45+(I46*C16))-IF(K9&lt;I47,0,((K9-I47)*I48)))</f>
        <v>0</v>
      </c>
      <c r="J49" s="232">
        <f>MAX(0,(J44+J45+(J46*D16))-IF(K9&lt;J47,0,((K9-J47)*J48)))</f>
        <v>0</v>
      </c>
    </row>
    <row r="52" spans="1:10">
      <c r="A52" s="262" t="s">
        <v>109</v>
      </c>
      <c r="B52" s="262"/>
      <c r="C52" s="262"/>
      <c r="D52" s="262"/>
      <c r="E52" s="262"/>
      <c r="F52" s="262"/>
      <c r="G52" s="262"/>
      <c r="H52" s="262"/>
      <c r="I52" s="262"/>
      <c r="J52" s="262"/>
    </row>
    <row r="53" spans="1:10">
      <c r="A53" s="262" t="s">
        <v>110</v>
      </c>
      <c r="B53" s="262"/>
      <c r="C53" s="262"/>
      <c r="D53" s="262"/>
      <c r="E53" s="262"/>
      <c r="F53" s="262"/>
      <c r="G53" s="262"/>
      <c r="H53" s="262"/>
      <c r="I53" s="262"/>
      <c r="J53" s="262"/>
    </row>
    <row r="54" spans="1:10">
      <c r="A54" s="262" t="s">
        <v>111</v>
      </c>
      <c r="B54" s="262"/>
      <c r="C54" s="262"/>
      <c r="D54" s="262"/>
      <c r="E54" s="262"/>
      <c r="F54" s="262"/>
      <c r="G54" s="262"/>
      <c r="H54" s="262"/>
      <c r="I54" s="262"/>
      <c r="J54" s="262"/>
    </row>
    <row r="56" spans="1:10">
      <c r="A56" s="262" t="s">
        <v>112</v>
      </c>
      <c r="B56" s="262"/>
      <c r="C56" s="262"/>
      <c r="D56" s="262"/>
      <c r="E56" s="262"/>
      <c r="F56" s="262"/>
      <c r="G56" s="262"/>
      <c r="H56" s="262"/>
      <c r="I56" s="262"/>
      <c r="J56" s="262"/>
    </row>
    <row r="58" spans="1:10">
      <c r="A58" s="262" t="s">
        <v>113</v>
      </c>
      <c r="B58" s="262"/>
      <c r="C58" s="262"/>
      <c r="D58" s="262"/>
      <c r="E58" s="262"/>
      <c r="F58" s="262"/>
      <c r="G58" s="262"/>
      <c r="H58" s="262"/>
      <c r="I58" s="262"/>
      <c r="J58" s="262"/>
    </row>
    <row r="64" spans="1:10">
      <c r="A64" s="262"/>
      <c r="B64" s="262"/>
      <c r="C64" s="262"/>
      <c r="D64" s="262"/>
      <c r="E64" s="262"/>
      <c r="F64" s="262"/>
      <c r="G64" s="262"/>
      <c r="H64" s="273"/>
      <c r="I64" s="273"/>
      <c r="J64" s="262"/>
    </row>
    <row r="73" spans="8:9">
      <c r="H73" s="274"/>
      <c r="I73" s="274"/>
    </row>
    <row r="74" spans="8:9">
      <c r="H74" s="261"/>
      <c r="I74" s="261"/>
    </row>
  </sheetData>
  <mergeCells count="4">
    <mergeCell ref="H73:I73"/>
    <mergeCell ref="B15:C15"/>
    <mergeCell ref="H43:I43"/>
    <mergeCell ref="H64:I64"/>
  </mergeCells>
  <hyperlinks>
    <hyperlink ref="J18" r:id="rId1" xr:uid="{8746554B-81D9-9341-BDB9-904C7B2771E4}"/>
    <hyperlink ref="H42" r:id="rId2" xr:uid="{4A165DE4-8AD2-4B46-9AE3-A95EB32A59C3}"/>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tabSelected="1" topLeftCell="A22" zoomScale="130" zoomScaleNormal="130" workbookViewId="0">
      <selection activeCell="C55" sqref="C55"/>
    </sheetView>
  </sheetViews>
  <sheetFormatPr defaultColWidth="8.85546875" defaultRowHeight="15"/>
  <cols>
    <col min="2" max="2" width="31.7109375" customWidth="1"/>
    <col min="3" max="3" width="10.140625" customWidth="1"/>
    <col min="6" max="6" width="5" style="187" customWidth="1"/>
    <col min="7" max="7" width="30.140625" customWidth="1"/>
    <col min="8" max="8" width="10.7109375" bestFit="1" customWidth="1"/>
    <col min="9" max="9" width="11.7109375" bestFit="1" customWidth="1"/>
    <col min="11" max="11" width="14.7109375" customWidth="1"/>
    <col min="12" max="12" width="15.140625" customWidth="1"/>
  </cols>
  <sheetData>
    <row r="1" spans="1:14" ht="15.95">
      <c r="A1" s="262"/>
      <c r="B1" s="209" t="s">
        <v>114</v>
      </c>
      <c r="C1" s="262"/>
      <c r="D1" s="262"/>
      <c r="E1" s="262"/>
      <c r="F1" s="262"/>
      <c r="G1" s="262"/>
      <c r="H1" s="262"/>
      <c r="I1" s="262"/>
      <c r="J1" s="262"/>
      <c r="K1" s="262"/>
      <c r="L1" s="262"/>
      <c r="M1" s="262"/>
      <c r="N1" s="262"/>
    </row>
    <row r="2" spans="1:14">
      <c r="A2" s="40"/>
      <c r="B2" s="262"/>
      <c r="C2" s="262"/>
      <c r="D2" s="262"/>
      <c r="E2" s="262"/>
      <c r="F2" s="262"/>
      <c r="G2" s="262"/>
      <c r="H2" s="262"/>
      <c r="I2" s="262"/>
      <c r="J2" s="262"/>
      <c r="K2" s="262"/>
      <c r="L2" s="262"/>
      <c r="M2" s="262"/>
      <c r="N2" s="262"/>
    </row>
    <row r="3" spans="1:14">
      <c r="A3" s="262"/>
      <c r="B3" s="262" t="s">
        <v>37</v>
      </c>
      <c r="C3" s="262">
        <f>'LW 2020 Income'!B37</f>
        <v>21.8</v>
      </c>
      <c r="D3" s="262"/>
      <c r="E3" s="262"/>
      <c r="F3" s="262"/>
      <c r="G3" s="262"/>
      <c r="H3" s="262"/>
      <c r="I3" s="262"/>
      <c r="J3" s="262"/>
      <c r="K3" s="262"/>
      <c r="L3" s="262"/>
      <c r="M3" s="262"/>
      <c r="N3" s="262"/>
    </row>
    <row r="4" spans="1:14">
      <c r="A4" s="262"/>
      <c r="B4" s="262"/>
      <c r="C4" s="262"/>
      <c r="D4" s="262"/>
      <c r="E4" s="262"/>
      <c r="F4" s="262"/>
      <c r="G4" s="262"/>
      <c r="H4" s="262"/>
      <c r="I4" s="262"/>
      <c r="J4" s="262"/>
      <c r="K4" s="262"/>
      <c r="L4" s="262"/>
      <c r="M4" s="262"/>
      <c r="N4" s="262"/>
    </row>
    <row r="5" spans="1:14" ht="15.95" thickBot="1">
      <c r="A5" s="262"/>
      <c r="B5" s="210"/>
      <c r="C5" s="262"/>
      <c r="D5" s="262"/>
      <c r="E5" s="262"/>
      <c r="F5" s="262"/>
      <c r="G5" s="262"/>
      <c r="H5" s="262"/>
      <c r="I5" s="262"/>
      <c r="J5" s="262"/>
      <c r="K5" s="262"/>
      <c r="L5" s="262"/>
      <c r="M5" s="262"/>
      <c r="N5" s="262"/>
    </row>
    <row r="6" spans="1:14">
      <c r="A6" s="262"/>
      <c r="B6" s="143" t="s">
        <v>115</v>
      </c>
      <c r="C6" s="144"/>
      <c r="D6" s="144"/>
      <c r="E6" s="262"/>
      <c r="F6" s="262"/>
      <c r="G6" s="262"/>
      <c r="H6" s="262"/>
      <c r="I6" s="262"/>
      <c r="J6" s="262"/>
      <c r="K6" s="262"/>
      <c r="L6" s="262"/>
      <c r="M6" s="262"/>
      <c r="N6" s="262"/>
    </row>
    <row r="7" spans="1:14">
      <c r="A7" s="262"/>
      <c r="B7" s="102" t="s">
        <v>116</v>
      </c>
      <c r="C7" s="146">
        <v>1.5800000000000002E-2</v>
      </c>
      <c r="D7" s="112"/>
      <c r="E7" s="262"/>
      <c r="F7" s="262"/>
      <c r="G7" s="262"/>
      <c r="H7" s="262"/>
      <c r="I7" s="262"/>
      <c r="J7" s="262"/>
      <c r="K7" s="262"/>
      <c r="L7" s="262"/>
      <c r="M7" s="262"/>
      <c r="N7" s="262"/>
    </row>
    <row r="8" spans="1:14" ht="15.95" thickBot="1">
      <c r="A8" s="262"/>
      <c r="B8" s="113" t="s">
        <v>117</v>
      </c>
      <c r="C8" s="147">
        <f>C7*'LW 2020 Income'!B38</f>
        <v>626.88080000000002</v>
      </c>
      <c r="D8" s="147">
        <f>C7*'LW 2020 Income'!C38</f>
        <v>626.88080000000002</v>
      </c>
      <c r="E8" s="262"/>
      <c r="F8" s="262"/>
      <c r="G8" s="262"/>
      <c r="H8" s="262"/>
      <c r="I8" s="262"/>
      <c r="J8" s="262"/>
      <c r="K8" s="262"/>
      <c r="L8" s="262"/>
      <c r="M8" s="262"/>
      <c r="N8" s="262"/>
    </row>
    <row r="9" spans="1:14" ht="15.95" thickBot="1">
      <c r="A9" s="262"/>
      <c r="B9" s="210"/>
      <c r="C9" s="262"/>
      <c r="D9" s="262"/>
      <c r="E9" s="262"/>
      <c r="F9" s="262"/>
      <c r="G9" s="262"/>
      <c r="H9" s="262"/>
      <c r="I9" s="262"/>
      <c r="J9" s="262"/>
      <c r="K9" s="262"/>
      <c r="L9" s="262"/>
      <c r="M9" s="262"/>
      <c r="N9" s="262"/>
    </row>
    <row r="10" spans="1:14">
      <c r="A10" s="262"/>
      <c r="B10" s="143" t="s">
        <v>118</v>
      </c>
      <c r="C10" s="144"/>
      <c r="D10" s="145"/>
      <c r="E10" s="262"/>
      <c r="F10" s="262"/>
      <c r="G10" s="262"/>
      <c r="H10" s="262"/>
      <c r="I10" s="262"/>
      <c r="J10" s="262"/>
      <c r="K10" s="262"/>
      <c r="L10" s="262"/>
      <c r="M10" s="262"/>
      <c r="N10" s="262"/>
    </row>
    <row r="11" spans="1:14">
      <c r="A11" s="262"/>
      <c r="B11" s="102" t="s">
        <v>119</v>
      </c>
      <c r="C11" s="146">
        <v>5.2499999999999998E-2</v>
      </c>
      <c r="D11" s="103"/>
      <c r="E11" s="262"/>
      <c r="F11" s="262"/>
      <c r="G11" s="262"/>
      <c r="H11" s="262"/>
      <c r="I11" s="262"/>
      <c r="J11" s="262"/>
      <c r="K11" s="262"/>
      <c r="L11" s="262"/>
      <c r="M11" s="262"/>
      <c r="N11" s="262"/>
    </row>
    <row r="12" spans="1:14">
      <c r="A12" s="262"/>
      <c r="B12" s="102" t="s">
        <v>120</v>
      </c>
      <c r="C12" s="148">
        <v>3500</v>
      </c>
      <c r="D12" s="103"/>
      <c r="E12" s="262"/>
      <c r="F12" s="262"/>
      <c r="G12" s="262"/>
      <c r="H12" s="262"/>
      <c r="I12" s="262"/>
      <c r="J12" s="262"/>
      <c r="K12" s="262"/>
      <c r="L12" s="262"/>
      <c r="M12" s="262"/>
      <c r="N12" s="262"/>
    </row>
    <row r="13" spans="1:14" ht="15.95" thickBot="1">
      <c r="A13" s="262"/>
      <c r="B13" s="149" t="s">
        <v>121</v>
      </c>
      <c r="C13" s="147">
        <f>('LW 2020 Income'!B38-$C$12)*$C$11</f>
        <v>1899.24</v>
      </c>
      <c r="D13" s="212">
        <f>('LW 2020 Income'!C38-$C$12)*$C$11</f>
        <v>1899.24</v>
      </c>
      <c r="E13" s="262"/>
      <c r="F13" s="262"/>
      <c r="G13" s="262"/>
      <c r="H13" s="262"/>
      <c r="I13" s="262"/>
      <c r="J13" s="262"/>
      <c r="K13" s="262"/>
      <c r="L13" s="262"/>
      <c r="M13" s="262"/>
      <c r="N13" s="262"/>
    </row>
    <row r="14" spans="1:14" ht="15.95" thickBot="1">
      <c r="A14" s="262"/>
      <c r="B14" s="262"/>
      <c r="C14" s="262"/>
      <c r="D14" s="262"/>
      <c r="E14" s="262"/>
      <c r="F14" s="262"/>
      <c r="G14" s="214" t="s">
        <v>122</v>
      </c>
      <c r="H14" s="168" t="s">
        <v>123</v>
      </c>
      <c r="I14" s="169" t="s">
        <v>124</v>
      </c>
      <c r="J14" s="262"/>
      <c r="K14" s="213"/>
      <c r="L14" s="262"/>
      <c r="M14" s="262"/>
      <c r="N14" s="262"/>
    </row>
    <row r="15" spans="1:14">
      <c r="A15" s="262"/>
      <c r="B15" s="151" t="s">
        <v>125</v>
      </c>
      <c r="C15" s="40" t="s">
        <v>126</v>
      </c>
      <c r="D15" s="40" t="s">
        <v>127</v>
      </c>
      <c r="E15" s="262"/>
      <c r="F15" s="262"/>
      <c r="G15" s="215" t="s">
        <v>128</v>
      </c>
      <c r="H15" s="144"/>
      <c r="I15" s="145"/>
      <c r="J15" s="262"/>
      <c r="K15" s="200" t="s">
        <v>129</v>
      </c>
      <c r="L15" s="262"/>
      <c r="M15" s="262"/>
      <c r="N15" s="262"/>
    </row>
    <row r="16" spans="1:14" ht="15.95" thickBot="1">
      <c r="A16" s="262"/>
      <c r="B16" s="262" t="s">
        <v>130</v>
      </c>
      <c r="C16" s="197">
        <v>8481</v>
      </c>
      <c r="D16" s="152">
        <v>12069</v>
      </c>
      <c r="E16" s="262"/>
      <c r="F16" s="262"/>
      <c r="G16" s="102" t="s">
        <v>131</v>
      </c>
      <c r="H16" s="170">
        <f>C16</f>
        <v>8481</v>
      </c>
      <c r="I16" s="171">
        <f>C16</f>
        <v>8481</v>
      </c>
      <c r="J16" s="262"/>
      <c r="K16" s="200" t="s">
        <v>132</v>
      </c>
      <c r="L16" s="262"/>
      <c r="M16" s="262"/>
      <c r="N16" s="262"/>
    </row>
    <row r="17" spans="1:14" ht="17.100000000000001" thickTop="1" thickBot="1">
      <c r="A17" s="262"/>
      <c r="B17" s="262" t="s">
        <v>133</v>
      </c>
      <c r="C17" s="197">
        <v>8481</v>
      </c>
      <c r="D17" s="262"/>
      <c r="E17" s="262"/>
      <c r="F17" s="262"/>
      <c r="G17" s="102" t="s">
        <v>134</v>
      </c>
      <c r="H17" s="201">
        <v>3000</v>
      </c>
      <c r="I17" s="171">
        <f>H17</f>
        <v>3000</v>
      </c>
      <c r="J17" s="262"/>
      <c r="K17" s="200" t="s">
        <v>135</v>
      </c>
      <c r="L17" s="262"/>
      <c r="M17" s="262"/>
      <c r="N17" s="262"/>
    </row>
    <row r="18" spans="1:14" ht="17.100000000000001" thickTop="1" thickBot="1">
      <c r="A18" s="262"/>
      <c r="B18" s="262" t="s">
        <v>136</v>
      </c>
      <c r="C18" s="197">
        <v>4141</v>
      </c>
      <c r="D18" s="153">
        <v>7494</v>
      </c>
      <c r="E18" s="262"/>
      <c r="F18" s="262"/>
      <c r="G18" s="102" t="s">
        <v>137</v>
      </c>
      <c r="H18" s="170">
        <f>'LW 2020 Income'!B40</f>
        <v>26676</v>
      </c>
      <c r="I18" s="171">
        <f>'LW 2020 Income'!C40</f>
        <v>39676</v>
      </c>
      <c r="J18" s="262"/>
      <c r="K18" s="262"/>
      <c r="L18" s="262"/>
      <c r="M18" s="262"/>
      <c r="N18" s="262"/>
    </row>
    <row r="19" spans="1:14" ht="17.100000000000001" thickTop="1" thickBot="1">
      <c r="A19" s="262"/>
      <c r="B19" s="262" t="s">
        <v>138</v>
      </c>
      <c r="C19" s="197">
        <v>8481</v>
      </c>
      <c r="D19" s="153">
        <v>8416</v>
      </c>
      <c r="E19" s="262"/>
      <c r="F19" s="262"/>
      <c r="G19" s="102" t="s">
        <v>139</v>
      </c>
      <c r="H19" s="201">
        <v>25000</v>
      </c>
      <c r="I19" s="171">
        <f>H19</f>
        <v>25000</v>
      </c>
      <c r="J19" s="262"/>
      <c r="K19" s="200" t="s">
        <v>140</v>
      </c>
      <c r="L19" s="262"/>
      <c r="M19" s="262"/>
      <c r="N19" s="262"/>
    </row>
    <row r="20" spans="1:14" ht="15.95" thickTop="1">
      <c r="A20" s="262"/>
      <c r="B20" s="262" t="s">
        <v>141</v>
      </c>
      <c r="C20" s="198">
        <v>0.03</v>
      </c>
      <c r="D20" s="154">
        <v>0.03</v>
      </c>
      <c r="E20" s="262"/>
      <c r="F20" s="262"/>
      <c r="G20" s="102" t="s">
        <v>142</v>
      </c>
      <c r="H20" s="177">
        <f>IF(H18-H19 &lt;0,0,H18-H19)</f>
        <v>1676</v>
      </c>
      <c r="I20" s="180">
        <f>IF(I18-I19 &lt;0,0,I18-I19)</f>
        <v>14676</v>
      </c>
      <c r="J20" s="262"/>
      <c r="K20" s="262"/>
      <c r="L20" s="262"/>
      <c r="M20" s="262"/>
      <c r="N20" s="262"/>
    </row>
    <row r="21" spans="1:14" ht="15.95" thickBot="1">
      <c r="A21" s="262"/>
      <c r="B21" s="262" t="s">
        <v>143</v>
      </c>
      <c r="C21" s="199">
        <v>8.7900000000000006E-2</v>
      </c>
      <c r="D21" s="154">
        <v>0.15</v>
      </c>
      <c r="E21" s="262"/>
      <c r="F21" s="262"/>
      <c r="G21" s="102" t="s">
        <v>144</v>
      </c>
      <c r="H21" s="202">
        <v>0.06</v>
      </c>
      <c r="I21" s="203">
        <f>H21</f>
        <v>0.06</v>
      </c>
      <c r="J21" s="262"/>
      <c r="K21" s="262"/>
      <c r="L21" s="262"/>
      <c r="M21" s="262"/>
      <c r="N21" s="262"/>
    </row>
    <row r="22" spans="1:14" ht="15.95" thickTop="1">
      <c r="A22" s="262"/>
      <c r="B22" s="262" t="s">
        <v>145</v>
      </c>
      <c r="C22" s="197"/>
      <c r="D22" s="156">
        <v>1222</v>
      </c>
      <c r="E22" s="262"/>
      <c r="F22" s="262"/>
      <c r="G22" s="102" t="s">
        <v>146</v>
      </c>
      <c r="H22" s="177">
        <f>H20*H21</f>
        <v>100.56</v>
      </c>
      <c r="I22" s="180">
        <f>I20*I21</f>
        <v>880.56</v>
      </c>
      <c r="J22" s="262"/>
      <c r="K22" s="262"/>
      <c r="L22" s="262"/>
      <c r="M22" s="262"/>
      <c r="N22" s="262"/>
    </row>
    <row r="23" spans="1:14" s="192" customFormat="1">
      <c r="A23" s="262"/>
      <c r="B23" s="262" t="s">
        <v>147</v>
      </c>
      <c r="C23" s="197">
        <v>100</v>
      </c>
      <c r="D23" s="156"/>
      <c r="E23" s="262"/>
      <c r="F23" s="262"/>
      <c r="G23" s="102" t="s">
        <v>142</v>
      </c>
      <c r="H23" s="177">
        <f>H17-H22</f>
        <v>2899.44</v>
      </c>
      <c r="I23" s="180">
        <f>I17-I22</f>
        <v>2119.44</v>
      </c>
      <c r="J23" s="262"/>
      <c r="K23" s="262"/>
      <c r="L23" s="262"/>
      <c r="M23" s="262"/>
      <c r="N23" s="262"/>
    </row>
    <row r="24" spans="1:14" ht="15.95" thickBot="1">
      <c r="A24" s="262"/>
      <c r="B24" s="262"/>
      <c r="C24" s="262"/>
      <c r="D24" s="210"/>
      <c r="E24" s="262"/>
      <c r="F24" s="262"/>
      <c r="G24" s="113" t="s">
        <v>131</v>
      </c>
      <c r="H24" s="150">
        <f>H16+H23</f>
        <v>11380.44</v>
      </c>
      <c r="I24" s="139">
        <f>I16+I23</f>
        <v>10600.44</v>
      </c>
      <c r="J24" s="262"/>
      <c r="K24" s="262"/>
      <c r="L24" s="262"/>
      <c r="M24" s="262"/>
      <c r="N24" s="262"/>
    </row>
    <row r="25" spans="1:14" ht="15.95" thickBot="1">
      <c r="A25" s="262"/>
      <c r="B25" s="92" t="s">
        <v>148</v>
      </c>
      <c r="C25" s="262"/>
      <c r="D25" s="262"/>
      <c r="E25" s="262"/>
      <c r="F25" s="262"/>
      <c r="G25" s="113"/>
      <c r="H25" s="114"/>
      <c r="I25" s="115"/>
      <c r="J25" s="262"/>
      <c r="K25" s="262"/>
      <c r="L25" s="262"/>
      <c r="M25" s="262"/>
      <c r="N25" s="262"/>
    </row>
    <row r="26" spans="1:14">
      <c r="A26" s="262"/>
      <c r="B26" s="262" t="s">
        <v>149</v>
      </c>
      <c r="C26" s="197">
        <v>15000</v>
      </c>
      <c r="D26" s="262"/>
      <c r="E26" s="262"/>
      <c r="F26" s="262"/>
      <c r="G26" s="262"/>
      <c r="H26" s="262"/>
      <c r="I26" s="262"/>
      <c r="J26" s="262"/>
      <c r="K26" s="262"/>
      <c r="L26" s="262"/>
      <c r="M26" s="262"/>
      <c r="N26" s="262"/>
    </row>
    <row r="27" spans="1:14" ht="15.95" thickBot="1">
      <c r="A27" s="262"/>
      <c r="B27" s="262" t="s">
        <v>150</v>
      </c>
      <c r="C27" s="198">
        <v>0.05</v>
      </c>
      <c r="D27" s="262"/>
      <c r="E27" s="262"/>
      <c r="F27" s="262"/>
      <c r="G27" s="262"/>
      <c r="H27" s="262"/>
      <c r="I27" s="262"/>
      <c r="J27" s="262"/>
      <c r="K27" s="262"/>
      <c r="L27" s="262"/>
      <c r="M27" s="262"/>
      <c r="N27" s="262"/>
    </row>
    <row r="28" spans="1:14">
      <c r="A28" s="262"/>
      <c r="B28" s="262" t="s">
        <v>151</v>
      </c>
      <c r="C28" s="197">
        <f>300+300+165*2</f>
        <v>930</v>
      </c>
      <c r="D28" s="262"/>
      <c r="E28" s="262"/>
      <c r="F28" s="262"/>
      <c r="G28" s="205" t="s">
        <v>152</v>
      </c>
      <c r="H28" s="168" t="s">
        <v>123</v>
      </c>
      <c r="I28" s="169" t="s">
        <v>124</v>
      </c>
      <c r="J28" s="68" t="s">
        <v>153</v>
      </c>
      <c r="K28" s="262"/>
      <c r="L28" s="262"/>
      <c r="M28" s="262"/>
      <c r="N28" s="262"/>
    </row>
    <row r="29" spans="1:14" ht="15.95" thickBot="1">
      <c r="A29" s="262"/>
      <c r="B29" s="157" t="s">
        <v>154</v>
      </c>
      <c r="C29" s="184">
        <f>MAX(0,(C28-(('LW 2020 Income'!D40-C26)*'Taxes &amp; Credits'!C27)))</f>
        <v>0</v>
      </c>
      <c r="D29" s="262" t="s">
        <v>155</v>
      </c>
      <c r="E29" s="262"/>
      <c r="F29" s="262"/>
      <c r="G29" s="102" t="s">
        <v>131</v>
      </c>
      <c r="H29" s="104">
        <f>H24</f>
        <v>11380.44</v>
      </c>
      <c r="I29" s="104">
        <f>I24</f>
        <v>10600.44</v>
      </c>
      <c r="J29" s="262"/>
      <c r="K29" s="262"/>
      <c r="L29" s="262"/>
      <c r="M29" s="262"/>
      <c r="N29" s="262"/>
    </row>
    <row r="30" spans="1:14" ht="17.100000000000001" thickTop="1" thickBot="1">
      <c r="A30" s="262"/>
      <c r="B30" s="262"/>
      <c r="C30" s="262"/>
      <c r="D30" s="262"/>
      <c r="E30" s="262"/>
      <c r="F30" s="262"/>
      <c r="G30" s="102" t="s">
        <v>156</v>
      </c>
      <c r="H30" s="172">
        <f>C8</f>
        <v>626.88080000000002</v>
      </c>
      <c r="I30" s="173">
        <f>D8</f>
        <v>626.88080000000002</v>
      </c>
      <c r="J30" s="262"/>
      <c r="K30" s="262"/>
      <c r="L30" s="262"/>
      <c r="M30" s="262"/>
      <c r="N30" s="262"/>
    </row>
    <row r="31" spans="1:14" ht="17.100000000000001" thickTop="1" thickBot="1">
      <c r="A31" s="262"/>
      <c r="B31" s="151" t="s">
        <v>157</v>
      </c>
      <c r="C31" s="262"/>
      <c r="D31" s="262"/>
      <c r="E31" s="262"/>
      <c r="F31" s="262"/>
      <c r="G31" s="102" t="s">
        <v>158</v>
      </c>
      <c r="H31" s="172">
        <f>C13</f>
        <v>1899.24</v>
      </c>
      <c r="I31" s="173">
        <f>D13</f>
        <v>1899.24</v>
      </c>
      <c r="J31" s="262"/>
      <c r="K31" s="262"/>
      <c r="L31" s="262"/>
      <c r="M31" s="262"/>
      <c r="N31" s="262"/>
    </row>
    <row r="32" spans="1:14" ht="17.100000000000001" thickTop="1" thickBot="1">
      <c r="A32" s="262"/>
      <c r="B32" s="262" t="s">
        <v>159</v>
      </c>
      <c r="C32" s="262" t="s">
        <v>160</v>
      </c>
      <c r="D32" s="262" t="s">
        <v>161</v>
      </c>
      <c r="E32" s="262" t="s">
        <v>162</v>
      </c>
      <c r="F32" s="262"/>
      <c r="G32" s="102" t="s">
        <v>163</v>
      </c>
      <c r="H32" s="112"/>
      <c r="I32" s="175">
        <f>L35</f>
        <v>1384.3400000000001</v>
      </c>
      <c r="J32" s="262"/>
      <c r="K32" s="279" t="s">
        <v>164</v>
      </c>
      <c r="L32" s="280"/>
      <c r="M32" s="262" t="s">
        <v>124</v>
      </c>
      <c r="N32" s="262"/>
    </row>
    <row r="33" spans="1:14" ht="17.100000000000001" thickTop="1" thickBot="1">
      <c r="A33" s="262"/>
      <c r="B33" s="197">
        <v>0</v>
      </c>
      <c r="C33" s="197">
        <v>29590</v>
      </c>
      <c r="D33" s="199">
        <v>8.7900000000000006E-2</v>
      </c>
      <c r="E33" s="197"/>
      <c r="F33" s="262"/>
      <c r="G33" s="102" t="s">
        <v>165</v>
      </c>
      <c r="H33" s="177">
        <f>'LW 2020 Income'!C11-'LW 2020 Income'!B40*C20</f>
        <v>1315.68</v>
      </c>
      <c r="I33" s="103"/>
      <c r="J33" s="262"/>
      <c r="K33" s="204" t="s">
        <v>166</v>
      </c>
      <c r="L33" s="163">
        <f>'Family Expenses'!B35*2</f>
        <v>904.34</v>
      </c>
      <c r="M33" s="262"/>
      <c r="N33" s="262"/>
    </row>
    <row r="34" spans="1:14" ht="17.100000000000001" thickTop="1" thickBot="1">
      <c r="A34" s="262"/>
      <c r="B34" s="197">
        <v>29591</v>
      </c>
      <c r="C34" s="197">
        <v>59180</v>
      </c>
      <c r="D34" s="199">
        <v>0.14949999999999999</v>
      </c>
      <c r="E34" s="197">
        <v>2610</v>
      </c>
      <c r="F34" s="262"/>
      <c r="G34" s="102" t="s">
        <v>167</v>
      </c>
      <c r="H34" s="158">
        <f>C23*12</f>
        <v>1200</v>
      </c>
      <c r="I34" s="103"/>
      <c r="J34" s="262"/>
      <c r="K34" s="204" t="s">
        <v>168</v>
      </c>
      <c r="L34" s="163">
        <f>60*8</f>
        <v>480</v>
      </c>
      <c r="M34" s="262"/>
      <c r="N34" s="262"/>
    </row>
    <row r="35" spans="1:14" ht="17.100000000000001" thickTop="1" thickBot="1">
      <c r="A35" s="262"/>
      <c r="B35" s="197">
        <v>59181</v>
      </c>
      <c r="C35" s="197">
        <v>93000</v>
      </c>
      <c r="D35" s="199">
        <v>0.16669999999999999</v>
      </c>
      <c r="E35" s="197">
        <v>7025</v>
      </c>
      <c r="F35" s="262"/>
      <c r="G35" s="178" t="s">
        <v>169</v>
      </c>
      <c r="H35" s="179">
        <f>'LW 2020 Income'!B40*$D$33</f>
        <v>2344.8204000000001</v>
      </c>
      <c r="I35" s="216">
        <f>E34+('LW 2020 Income'!C40-B34)*'Taxes &amp; Credits'!D34</f>
        <v>4117.7075000000004</v>
      </c>
      <c r="J35" s="262" t="s">
        <v>170</v>
      </c>
      <c r="K35" s="164" t="s">
        <v>17</v>
      </c>
      <c r="L35" s="165">
        <f>SUM(L33:L34)</f>
        <v>1384.3400000000001</v>
      </c>
      <c r="M35" s="262"/>
      <c r="N35" s="262"/>
    </row>
    <row r="36" spans="1:14">
      <c r="A36" s="262"/>
      <c r="B36" s="197">
        <v>93001</v>
      </c>
      <c r="C36" s="197">
        <v>150000</v>
      </c>
      <c r="D36" s="199">
        <v>0.17499999999999999</v>
      </c>
      <c r="E36" s="197">
        <v>12662</v>
      </c>
      <c r="F36" s="262"/>
      <c r="G36" s="178" t="s">
        <v>171</v>
      </c>
      <c r="H36" s="179">
        <f>(H29+H30+H31+H32+H33+H34)*$C$21</f>
        <v>1443.51496632</v>
      </c>
      <c r="I36" s="216">
        <f>(I29+I30+I31+I32+I33+I34)*$C$21-C29</f>
        <v>1275.5081803200003</v>
      </c>
      <c r="J36" s="262"/>
      <c r="K36" s="262"/>
      <c r="L36" s="262"/>
      <c r="M36" s="262"/>
      <c r="N36" s="262"/>
    </row>
    <row r="37" spans="1:14">
      <c r="A37" s="262"/>
      <c r="B37" s="197">
        <v>150001</v>
      </c>
      <c r="C37" s="197"/>
      <c r="D37" s="199">
        <v>0.21</v>
      </c>
      <c r="E37" s="197">
        <v>22637</v>
      </c>
      <c r="F37" s="262"/>
      <c r="G37" s="178" t="s">
        <v>172</v>
      </c>
      <c r="H37" s="112"/>
      <c r="I37" s="103"/>
      <c r="J37" s="262"/>
      <c r="K37" s="262"/>
      <c r="L37" s="262"/>
      <c r="M37" s="262"/>
      <c r="N37" s="262"/>
    </row>
    <row r="38" spans="1:14" ht="15.95" thickBot="1">
      <c r="A38" s="262"/>
      <c r="B38" s="196" t="s">
        <v>173</v>
      </c>
      <c r="C38" s="196"/>
      <c r="D38" s="196"/>
      <c r="E38" s="196"/>
      <c r="F38" s="262"/>
      <c r="G38" s="181" t="s">
        <v>174</v>
      </c>
      <c r="H38" s="147">
        <f>H35-H36-H37</f>
        <v>901.30543368000008</v>
      </c>
      <c r="I38" s="212">
        <f>I35-I36-I37</f>
        <v>2842.1993196800004</v>
      </c>
      <c r="J38" s="262"/>
      <c r="K38" s="262"/>
      <c r="L38" s="262"/>
      <c r="M38" s="262"/>
      <c r="N38" s="262"/>
    </row>
    <row r="39" spans="1:14">
      <c r="A39" s="262"/>
      <c r="B39" s="151" t="s">
        <v>175</v>
      </c>
      <c r="C39" s="262"/>
      <c r="D39" s="262"/>
      <c r="E39" s="262"/>
      <c r="F39" s="262"/>
      <c r="G39" s="143" t="s">
        <v>176</v>
      </c>
      <c r="H39" s="168" t="s">
        <v>123</v>
      </c>
      <c r="I39" s="169" t="s">
        <v>124</v>
      </c>
      <c r="J39" s="68" t="s">
        <v>153</v>
      </c>
      <c r="K39" s="262"/>
      <c r="L39" s="262"/>
      <c r="M39" s="262"/>
      <c r="N39" s="262"/>
    </row>
    <row r="40" spans="1:14" ht="15.95" thickBot="1">
      <c r="A40" s="262"/>
      <c r="B40" s="262" t="s">
        <v>159</v>
      </c>
      <c r="C40" s="262" t="s">
        <v>160</v>
      </c>
      <c r="D40" s="262" t="s">
        <v>161</v>
      </c>
      <c r="E40" s="262"/>
      <c r="F40" s="262"/>
      <c r="G40" s="102" t="s">
        <v>131</v>
      </c>
      <c r="H40" s="170">
        <f>D16</f>
        <v>12069</v>
      </c>
      <c r="I40" s="171">
        <f>D16</f>
        <v>12069</v>
      </c>
      <c r="J40" s="262"/>
      <c r="K40" s="262"/>
      <c r="L40" s="262"/>
      <c r="M40" s="262"/>
      <c r="N40" s="262"/>
    </row>
    <row r="41" spans="1:14" ht="17.100000000000001" thickTop="1" thickBot="1">
      <c r="A41" s="262"/>
      <c r="B41" s="152">
        <v>0</v>
      </c>
      <c r="C41" s="152">
        <v>48535</v>
      </c>
      <c r="D41" s="155">
        <v>0.15</v>
      </c>
      <c r="E41" s="262"/>
      <c r="F41" s="262"/>
      <c r="G41" s="102" t="s">
        <v>156</v>
      </c>
      <c r="H41" s="172">
        <f>C8</f>
        <v>626.88080000000002</v>
      </c>
      <c r="I41" s="173">
        <f>D8</f>
        <v>626.88080000000002</v>
      </c>
      <c r="J41" s="262"/>
      <c r="K41" s="262"/>
      <c r="L41" s="262"/>
      <c r="M41" s="262"/>
      <c r="N41" s="262"/>
    </row>
    <row r="42" spans="1:14" ht="17.100000000000001" thickTop="1" thickBot="1">
      <c r="A42" s="262"/>
      <c r="B42" s="153">
        <v>48535</v>
      </c>
      <c r="C42" s="153">
        <v>97069</v>
      </c>
      <c r="D42" s="159">
        <v>0.20499999999999999</v>
      </c>
      <c r="E42" s="262"/>
      <c r="F42" s="262"/>
      <c r="G42" s="102" t="s">
        <v>158</v>
      </c>
      <c r="H42" s="172">
        <f>C13</f>
        <v>1899.24</v>
      </c>
      <c r="I42" s="173">
        <f>D13</f>
        <v>1899.24</v>
      </c>
      <c r="J42" s="210"/>
      <c r="K42" s="262"/>
      <c r="L42" s="262"/>
      <c r="M42" s="262"/>
      <c r="N42" s="262"/>
    </row>
    <row r="43" spans="1:14" ht="17.100000000000001" thickTop="1" thickBot="1">
      <c r="A43" s="262"/>
      <c r="B43" s="153">
        <v>97069</v>
      </c>
      <c r="C43" s="153">
        <v>150473</v>
      </c>
      <c r="D43" s="159">
        <v>0.26</v>
      </c>
      <c r="E43" s="210"/>
      <c r="F43" s="262"/>
      <c r="G43" s="102" t="s">
        <v>177</v>
      </c>
      <c r="H43" s="174">
        <f>D22</f>
        <v>1222</v>
      </c>
      <c r="I43" s="175">
        <f>D22</f>
        <v>1222</v>
      </c>
      <c r="J43" s="262"/>
      <c r="K43" s="262"/>
      <c r="L43" s="262"/>
      <c r="M43" s="262"/>
      <c r="N43" s="262"/>
    </row>
    <row r="44" spans="1:14" ht="17.100000000000001" thickTop="1" thickBot="1">
      <c r="A44" s="262"/>
      <c r="B44" s="153">
        <v>150473</v>
      </c>
      <c r="C44" s="153">
        <v>214368</v>
      </c>
      <c r="D44" s="159">
        <v>0.28999999999999998</v>
      </c>
      <c r="E44" s="262"/>
      <c r="F44" s="262"/>
      <c r="G44" s="102" t="s">
        <v>178</v>
      </c>
      <c r="H44" s="112"/>
      <c r="I44" s="176">
        <f>L49</f>
        <v>904.34</v>
      </c>
      <c r="J44" s="262"/>
      <c r="K44" s="262"/>
      <c r="L44" s="262"/>
      <c r="M44" s="262"/>
      <c r="N44" s="262"/>
    </row>
    <row r="45" spans="1:14" ht="15.95" thickTop="1">
      <c r="A45" s="262"/>
      <c r="B45" s="153">
        <v>214368</v>
      </c>
      <c r="C45" s="153"/>
      <c r="D45" s="159">
        <v>0.33</v>
      </c>
      <c r="E45" s="262"/>
      <c r="F45" s="262"/>
      <c r="G45" s="102" t="s">
        <v>179</v>
      </c>
      <c r="H45" s="177">
        <f>'LW 2020 Income'!C11-'LW 2020 Income'!B40*D20</f>
        <v>1315.68</v>
      </c>
      <c r="I45" s="103"/>
      <c r="J45" s="262"/>
      <c r="K45" s="262"/>
      <c r="L45" s="262"/>
      <c r="M45" s="262"/>
      <c r="N45" s="262"/>
    </row>
    <row r="46" spans="1:14" s="193" customFormat="1">
      <c r="A46" s="262"/>
      <c r="B46" s="153"/>
      <c r="C46" s="153"/>
      <c r="D46" s="159"/>
      <c r="E46" s="262"/>
      <c r="F46" s="262"/>
      <c r="G46" s="102"/>
      <c r="H46" s="194"/>
      <c r="I46" s="158"/>
      <c r="J46" s="262"/>
      <c r="K46" s="262"/>
      <c r="L46" s="262"/>
      <c r="M46" s="262"/>
      <c r="N46" s="262"/>
    </row>
    <row r="47" spans="1:14">
      <c r="A47" s="262"/>
      <c r="B47" s="262"/>
      <c r="C47" s="262"/>
      <c r="D47" s="262"/>
      <c r="E47" s="262"/>
      <c r="F47" s="262"/>
      <c r="G47" s="102"/>
      <c r="H47" s="112"/>
      <c r="I47" s="103"/>
      <c r="J47" s="262"/>
      <c r="K47" s="281" t="s">
        <v>180</v>
      </c>
      <c r="L47" s="282"/>
      <c r="M47" s="262" t="s">
        <v>124</v>
      </c>
      <c r="N47" s="262"/>
    </row>
    <row r="48" spans="1:14" ht="15.95" thickBot="1">
      <c r="A48" s="262"/>
      <c r="B48" s="151" t="s">
        <v>181</v>
      </c>
      <c r="C48" s="262"/>
      <c r="D48" s="262"/>
      <c r="E48" s="262"/>
      <c r="F48" s="262"/>
      <c r="G48" s="178" t="s">
        <v>169</v>
      </c>
      <c r="H48" s="179">
        <f>'LW 2020 Income'!B40*$D$41</f>
        <v>4001.3999999999996</v>
      </c>
      <c r="I48" s="180">
        <f>'LW 2020 Income'!C40*$D$41</f>
        <v>5951.4</v>
      </c>
      <c r="J48" s="262"/>
      <c r="K48" s="11" t="s">
        <v>166</v>
      </c>
      <c r="L48" s="161">
        <f>'Family Expenses'!B35*2</f>
        <v>904.34</v>
      </c>
      <c r="M48" s="262"/>
      <c r="N48" s="262"/>
    </row>
    <row r="49" spans="1:14" ht="15.95" thickTop="1">
      <c r="A49" s="262"/>
      <c r="B49" s="262" t="s">
        <v>131</v>
      </c>
      <c r="C49" s="152">
        <v>3000</v>
      </c>
      <c r="D49" s="262"/>
      <c r="E49" s="262"/>
      <c r="F49" s="262"/>
      <c r="G49" s="178" t="s">
        <v>171</v>
      </c>
      <c r="H49" s="179">
        <f>(H40+H41+H42+H43+H45+H44)*$D$21</f>
        <v>2569.9201200000002</v>
      </c>
      <c r="I49" s="216">
        <f>SUM(I40:I47)*$D$21</f>
        <v>2508.2191200000002</v>
      </c>
      <c r="J49" s="262"/>
      <c r="K49" s="28" t="s">
        <v>17</v>
      </c>
      <c r="L49" s="162">
        <f>SUM(L48:L48)</f>
        <v>904.34</v>
      </c>
      <c r="M49" s="262"/>
      <c r="N49" s="262"/>
    </row>
    <row r="50" spans="1:14">
      <c r="A50" s="262"/>
      <c r="B50" s="262" t="s">
        <v>182</v>
      </c>
      <c r="C50" s="154">
        <v>0.26</v>
      </c>
      <c r="D50" s="262"/>
      <c r="E50" s="262"/>
      <c r="F50" s="262"/>
      <c r="G50" s="178" t="s">
        <v>172</v>
      </c>
      <c r="H50" s="177">
        <f>C59</f>
        <v>0</v>
      </c>
      <c r="I50" s="180">
        <f>C55</f>
        <v>0</v>
      </c>
      <c r="J50" s="262"/>
      <c r="K50" s="262"/>
      <c r="L50" s="262"/>
      <c r="M50" s="210"/>
      <c r="N50" s="262"/>
    </row>
    <row r="51" spans="1:14" ht="15.95" thickBot="1">
      <c r="A51" s="262"/>
      <c r="B51" s="262" t="s">
        <v>183</v>
      </c>
      <c r="C51" s="152">
        <v>2335</v>
      </c>
      <c r="D51" s="210"/>
      <c r="E51" s="262"/>
      <c r="F51" s="262"/>
      <c r="G51" s="181" t="s">
        <v>184</v>
      </c>
      <c r="H51" s="182">
        <f>H48-H49-H50</f>
        <v>1431.4798799999994</v>
      </c>
      <c r="I51" s="183">
        <f>I48-I49-I50</f>
        <v>3443.1808799999994</v>
      </c>
      <c r="J51" s="262"/>
      <c r="K51" s="262"/>
      <c r="L51" s="262"/>
      <c r="M51" s="262"/>
      <c r="N51" s="262"/>
    </row>
    <row r="52" spans="1:14">
      <c r="A52" s="262"/>
      <c r="B52" s="262" t="s">
        <v>185</v>
      </c>
      <c r="C52" s="152">
        <v>36483</v>
      </c>
      <c r="D52" s="262"/>
      <c r="E52" s="262"/>
      <c r="F52" s="262"/>
      <c r="G52" s="262"/>
      <c r="H52" s="262"/>
      <c r="I52" s="262"/>
      <c r="J52" s="262"/>
      <c r="K52" s="262"/>
      <c r="L52" s="262"/>
      <c r="M52" s="262"/>
      <c r="N52" s="262"/>
    </row>
    <row r="53" spans="1:14">
      <c r="A53" s="262"/>
      <c r="B53" s="262" t="s">
        <v>186</v>
      </c>
      <c r="C53" s="152">
        <v>17025</v>
      </c>
      <c r="D53" s="262"/>
      <c r="E53" s="262"/>
      <c r="F53" s="262"/>
      <c r="G53" s="262"/>
      <c r="H53" s="262"/>
      <c r="I53" s="262"/>
      <c r="J53" s="262"/>
      <c r="K53" s="262"/>
      <c r="L53" s="262"/>
      <c r="M53" s="262"/>
      <c r="N53" s="262"/>
    </row>
    <row r="54" spans="1:14">
      <c r="A54" s="262"/>
      <c r="B54" s="262" t="s">
        <v>187</v>
      </c>
      <c r="C54" s="154">
        <v>0.12</v>
      </c>
      <c r="D54" s="262"/>
      <c r="E54" s="262"/>
      <c r="F54" s="262"/>
      <c r="G54" s="262"/>
      <c r="H54" s="262"/>
      <c r="I54" s="262"/>
      <c r="J54" s="262"/>
      <c r="K54" s="262"/>
      <c r="L54" s="262"/>
      <c r="M54" s="262"/>
      <c r="N54" s="262"/>
    </row>
    <row r="55" spans="1:14">
      <c r="A55" s="262"/>
      <c r="B55" s="262" t="s">
        <v>188</v>
      </c>
      <c r="C55" s="267">
        <f>IF('LW 2020 Income'!D38&lt;C52,(MIN(C50*('LW 2020 Income'!D38-C49),C49)-C54*('LW 2020 Income'!D40-C53)),0)</f>
        <v>0</v>
      </c>
      <c r="D55" s="262" t="s">
        <v>124</v>
      </c>
      <c r="E55" s="262" t="s">
        <v>71</v>
      </c>
      <c r="F55" s="262"/>
      <c r="G55" s="262"/>
      <c r="H55" s="262"/>
      <c r="I55" s="262"/>
      <c r="J55" s="262"/>
      <c r="K55" s="262"/>
      <c r="L55" s="262"/>
      <c r="M55" s="262"/>
      <c r="N55" s="262"/>
    </row>
    <row r="56" spans="1:14">
      <c r="A56" s="262"/>
      <c r="B56" s="200" t="s">
        <v>189</v>
      </c>
      <c r="C56" s="262"/>
      <c r="D56" s="262"/>
      <c r="E56" s="262"/>
      <c r="F56" s="262"/>
      <c r="G56" s="262"/>
      <c r="H56" s="262"/>
      <c r="I56" s="262"/>
      <c r="J56" s="262"/>
      <c r="K56" s="262"/>
      <c r="L56" s="262"/>
      <c r="M56" s="262"/>
      <c r="N56" s="262"/>
    </row>
    <row r="57" spans="1:14" s="206" customFormat="1">
      <c r="A57" s="262"/>
      <c r="B57" s="262"/>
      <c r="C57" s="262"/>
      <c r="D57" s="262"/>
      <c r="E57" s="262"/>
      <c r="F57" s="262"/>
      <c r="G57" s="262"/>
      <c r="H57" s="262"/>
      <c r="I57" s="262"/>
      <c r="J57" s="262"/>
      <c r="K57" s="262"/>
      <c r="L57" s="262"/>
      <c r="M57" s="262"/>
      <c r="N57" s="262"/>
    </row>
    <row r="58" spans="1:14">
      <c r="A58" s="262"/>
      <c r="B58" s="160" t="s">
        <v>190</v>
      </c>
      <c r="C58" s="262"/>
      <c r="D58" s="262"/>
      <c r="E58" s="262"/>
      <c r="F58" s="262"/>
      <c r="G58" s="262"/>
      <c r="H58" s="262"/>
      <c r="I58" s="262"/>
      <c r="J58" s="262"/>
      <c r="K58" s="262"/>
      <c r="L58" s="262"/>
      <c r="M58" s="262"/>
      <c r="N58" s="262"/>
    </row>
    <row r="59" spans="1:14">
      <c r="A59" s="262"/>
      <c r="B59" s="167" t="s">
        <v>191</v>
      </c>
      <c r="C59" s="158">
        <v>0</v>
      </c>
      <c r="D59" s="262" t="s">
        <v>123</v>
      </c>
      <c r="E59" s="262" t="s">
        <v>71</v>
      </c>
      <c r="F59" s="262"/>
      <c r="G59" s="283" t="s">
        <v>192</v>
      </c>
      <c r="H59" s="284"/>
      <c r="I59" s="262"/>
      <c r="J59" s="262"/>
      <c r="K59" s="262"/>
      <c r="L59" s="262"/>
      <c r="M59" s="262"/>
      <c r="N59" s="262"/>
    </row>
    <row r="60" spans="1:14">
      <c r="A60" s="262"/>
      <c r="B60" s="210"/>
      <c r="C60" s="262"/>
      <c r="D60" s="262"/>
      <c r="E60" s="262"/>
      <c r="F60" s="262"/>
      <c r="G60" s="80" t="s">
        <v>193</v>
      </c>
      <c r="H60" s="43">
        <v>8000</v>
      </c>
      <c r="I60" s="262"/>
      <c r="J60" s="262"/>
      <c r="K60" s="262"/>
      <c r="L60" s="262"/>
      <c r="M60" s="262"/>
      <c r="N60" s="262"/>
    </row>
    <row r="61" spans="1:14">
      <c r="A61" s="262"/>
      <c r="B61" s="262" t="s">
        <v>194</v>
      </c>
      <c r="C61" s="262"/>
      <c r="D61" s="262"/>
      <c r="E61" s="262"/>
      <c r="F61" s="262"/>
      <c r="G61" s="80" t="s">
        <v>195</v>
      </c>
      <c r="H61" s="37">
        <v>5000</v>
      </c>
      <c r="I61" s="262"/>
      <c r="J61" s="262"/>
      <c r="K61" s="262"/>
      <c r="L61" s="262"/>
      <c r="M61" s="262"/>
      <c r="N61" s="262"/>
    </row>
    <row r="62" spans="1:14">
      <c r="A62" s="262"/>
      <c r="B62" s="262" t="s">
        <v>196</v>
      </c>
      <c r="C62" s="262"/>
      <c r="D62" s="262"/>
      <c r="E62" s="262"/>
      <c r="F62" s="262"/>
      <c r="G62" s="81" t="s">
        <v>17</v>
      </c>
      <c r="H62" s="42">
        <f>SUM(H60:H61)</f>
        <v>13000</v>
      </c>
      <c r="I62" s="262"/>
      <c r="J62" s="262"/>
      <c r="K62" s="262"/>
      <c r="L62" s="262"/>
      <c r="M62" s="262"/>
      <c r="N62" s="262"/>
    </row>
    <row r="63" spans="1:14">
      <c r="A63" s="262"/>
      <c r="B63" s="262"/>
      <c r="C63" s="262"/>
      <c r="D63" s="262"/>
      <c r="E63" s="262"/>
      <c r="F63" s="262"/>
      <c r="G63" s="262"/>
      <c r="H63" s="262"/>
      <c r="I63" s="262"/>
      <c r="J63" s="262"/>
      <c r="K63" s="262"/>
      <c r="L63" s="262"/>
      <c r="M63" s="262"/>
      <c r="N63" s="262"/>
    </row>
    <row r="64" spans="1:14">
      <c r="A64" s="262"/>
      <c r="B64" s="262"/>
      <c r="C64" s="262"/>
      <c r="D64" s="262"/>
      <c r="E64" s="262"/>
      <c r="F64" s="262"/>
      <c r="G64" s="262"/>
      <c r="H64" s="262"/>
      <c r="I64" s="262"/>
      <c r="J64" s="262"/>
      <c r="K64" s="262"/>
      <c r="L64" s="262"/>
      <c r="M64" s="262"/>
      <c r="N64" s="262"/>
    </row>
    <row r="65" spans="7:8">
      <c r="G65" s="262"/>
      <c r="H65" s="262"/>
    </row>
    <row r="66" spans="7:8">
      <c r="G66" s="262"/>
      <c r="H66" s="262"/>
    </row>
  </sheetData>
  <mergeCells count="3">
    <mergeCell ref="K32:L32"/>
    <mergeCell ref="K47:L47"/>
    <mergeCell ref="G59:H59"/>
  </mergeCells>
  <hyperlinks>
    <hyperlink ref="K15" r:id="rId1" xr:uid="{F8EFBCFE-C29C-4DAE-9C7D-C50BD6F72728}"/>
    <hyperlink ref="K16" r:id="rId2" xr:uid="{2CC90457-FB95-4092-B8B9-8372A59501D3}"/>
    <hyperlink ref="K17" r:id="rId3" xr:uid="{CE1B9BFA-F512-46A2-A863-A75CCF12F4AA}"/>
    <hyperlink ref="K19" r:id="rId4" xr:uid="{F017D2D5-D296-47E1-AA00-B14AC290D4F9}"/>
    <hyperlink ref="B56" r:id="rId5" xr:uid="{EEF07E62-7840-3044-8D1E-D8467BB5C43A}"/>
  </hyperlinks>
  <pageMargins left="0.7" right="0.7" top="0.75" bottom="0.75" header="0.3" footer="0.3"/>
  <pageSetup orientation="portrait" horizontalDpi="0" verticalDpi="0"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workbookViewId="0">
      <selection activeCell="A12" sqref="A12"/>
    </sheetView>
  </sheetViews>
  <sheetFormatPr defaultColWidth="8.85546875" defaultRowHeight="15"/>
  <cols>
    <col min="1" max="1" width="33.140625" customWidth="1"/>
    <col min="2" max="2" width="27.42578125" customWidth="1"/>
    <col min="8" max="8" width="8.85546875" style="39"/>
    <col min="10" max="10" width="19.140625" customWidth="1"/>
    <col min="11" max="11" width="12.7109375" customWidth="1"/>
    <col min="13" max="13" width="12.140625" customWidth="1"/>
  </cols>
  <sheetData>
    <row r="1" spans="1:14">
      <c r="A1" s="262" t="s">
        <v>197</v>
      </c>
      <c r="B1" s="262"/>
      <c r="C1" s="262"/>
      <c r="D1" s="262"/>
      <c r="E1" s="262"/>
      <c r="F1" s="262"/>
      <c r="G1" s="262"/>
      <c r="H1" s="262"/>
      <c r="I1" s="262"/>
      <c r="J1" s="262"/>
      <c r="K1" s="262"/>
      <c r="L1" s="262"/>
      <c r="M1" s="262"/>
      <c r="N1" s="262"/>
    </row>
    <row r="2" spans="1:14">
      <c r="A2" s="262" t="s">
        <v>59</v>
      </c>
      <c r="B2" s="262"/>
      <c r="C2" s="262"/>
      <c r="D2" s="262"/>
      <c r="E2" s="262"/>
      <c r="F2" s="262"/>
      <c r="G2" s="262"/>
      <c r="H2" s="262"/>
      <c r="I2" s="262"/>
      <c r="J2" s="262"/>
      <c r="K2" s="262"/>
      <c r="L2" s="262"/>
      <c r="M2" s="262"/>
      <c r="N2" s="262"/>
    </row>
    <row r="3" spans="1:14">
      <c r="A3" s="262" t="s">
        <v>198</v>
      </c>
      <c r="B3" s="262"/>
      <c r="C3" s="262"/>
      <c r="D3" s="262"/>
      <c r="E3" s="262"/>
      <c r="F3" s="262"/>
      <c r="G3" s="262"/>
      <c r="H3" s="262"/>
      <c r="I3" s="262"/>
      <c r="J3" s="262"/>
      <c r="K3" s="262"/>
      <c r="L3" s="262"/>
      <c r="M3" s="262"/>
      <c r="N3" s="262"/>
    </row>
    <row r="4" spans="1:14">
      <c r="A4" s="262" t="s">
        <v>199</v>
      </c>
      <c r="B4" s="262"/>
      <c r="C4" s="262"/>
      <c r="D4" s="262"/>
      <c r="E4" s="262"/>
      <c r="F4" s="262"/>
      <c r="G4" s="262"/>
      <c r="H4" s="262"/>
      <c r="I4" s="262"/>
      <c r="J4" s="262"/>
      <c r="K4" s="262"/>
      <c r="L4" s="262"/>
      <c r="M4" s="262"/>
      <c r="N4" s="262"/>
    </row>
    <row r="5" spans="1:14">
      <c r="A5" s="262"/>
      <c r="B5" s="262"/>
      <c r="C5" s="262"/>
      <c r="D5" s="262"/>
      <c r="E5" s="262"/>
      <c r="F5" s="262"/>
      <c r="G5" s="262"/>
      <c r="H5" s="262"/>
      <c r="I5" s="262"/>
      <c r="J5" s="262"/>
      <c r="K5" s="262"/>
      <c r="L5" s="262"/>
      <c r="M5" s="262"/>
      <c r="N5" s="262"/>
    </row>
    <row r="6" spans="1:14">
      <c r="A6" s="262"/>
      <c r="B6" s="262" t="s">
        <v>200</v>
      </c>
      <c r="C6" s="262"/>
      <c r="D6" s="262"/>
      <c r="E6" s="262"/>
      <c r="F6" s="262"/>
      <c r="G6" s="262" t="s">
        <v>201</v>
      </c>
      <c r="H6" s="262"/>
      <c r="I6" s="262"/>
      <c r="J6" s="262"/>
      <c r="K6" s="262"/>
      <c r="L6" s="262"/>
      <c r="M6" s="262"/>
      <c r="N6" s="262"/>
    </row>
    <row r="7" spans="1:14">
      <c r="A7" s="262" t="s">
        <v>202</v>
      </c>
      <c r="B7" s="262">
        <v>2015</v>
      </c>
      <c r="C7" s="262">
        <v>2016</v>
      </c>
      <c r="D7" s="262">
        <v>2017</v>
      </c>
      <c r="E7" s="262">
        <v>2018</v>
      </c>
      <c r="F7" s="262">
        <v>2019</v>
      </c>
      <c r="G7" s="262">
        <v>2015</v>
      </c>
      <c r="H7" s="262">
        <v>2016</v>
      </c>
      <c r="I7" s="262">
        <v>2017</v>
      </c>
      <c r="J7" s="262">
        <v>2018</v>
      </c>
      <c r="K7" s="262">
        <v>2019</v>
      </c>
      <c r="L7" s="262"/>
      <c r="M7" s="262"/>
      <c r="N7" s="262"/>
    </row>
    <row r="8" spans="1:14">
      <c r="A8" s="262"/>
      <c r="B8" s="262" t="s">
        <v>203</v>
      </c>
      <c r="C8" s="262"/>
      <c r="D8" s="262"/>
      <c r="E8" s="262"/>
      <c r="F8" s="262"/>
      <c r="G8" s="262"/>
      <c r="H8" s="262"/>
      <c r="I8" s="262"/>
      <c r="J8" s="262"/>
      <c r="K8" s="262"/>
      <c r="L8" s="262"/>
      <c r="M8" s="262"/>
      <c r="N8" s="262"/>
    </row>
    <row r="9" spans="1:14">
      <c r="A9" s="262" t="s">
        <v>204</v>
      </c>
      <c r="B9" s="262">
        <v>129.30000000000001</v>
      </c>
      <c r="C9" s="262">
        <v>130.9</v>
      </c>
      <c r="D9" s="262">
        <v>132.4</v>
      </c>
      <c r="E9" s="262">
        <v>135.30000000000001</v>
      </c>
      <c r="F9" s="262">
        <v>137.5</v>
      </c>
      <c r="G9" s="262">
        <v>128.19999999999999</v>
      </c>
      <c r="H9" s="262">
        <v>129.80000000000001</v>
      </c>
      <c r="I9" s="262">
        <v>131.19999999999999</v>
      </c>
      <c r="J9" s="262">
        <v>134</v>
      </c>
      <c r="K9" s="262">
        <v>136</v>
      </c>
      <c r="L9" s="262"/>
      <c r="M9" s="195">
        <f>K9/I9</f>
        <v>1.0365853658536586</v>
      </c>
      <c r="N9" s="195">
        <f>F9/D9</f>
        <v>1.0385196374622356</v>
      </c>
    </row>
    <row r="10" spans="1:14" s="39" customFormat="1">
      <c r="A10" s="262" t="s">
        <v>205</v>
      </c>
      <c r="B10" s="262">
        <v>147.80000000000001</v>
      </c>
      <c r="C10" s="262">
        <v>151.4</v>
      </c>
      <c r="D10" s="262">
        <v>148.4</v>
      </c>
      <c r="E10" s="262">
        <v>148.9</v>
      </c>
      <c r="F10" s="262">
        <v>153</v>
      </c>
      <c r="G10" s="262" t="s">
        <v>206</v>
      </c>
      <c r="H10" s="262" t="s">
        <v>206</v>
      </c>
      <c r="I10" s="262" t="s">
        <v>206</v>
      </c>
      <c r="J10" s="262" t="s">
        <v>206</v>
      </c>
      <c r="K10" s="262" t="s">
        <v>206</v>
      </c>
      <c r="L10" s="262"/>
      <c r="M10" s="262"/>
      <c r="N10" s="262"/>
    </row>
    <row r="11" spans="1:14" s="39" customFormat="1">
      <c r="A11" s="262" t="s">
        <v>207</v>
      </c>
      <c r="B11" s="262">
        <v>139.69999999999999</v>
      </c>
      <c r="C11" s="262">
        <v>139.4</v>
      </c>
      <c r="D11" s="262">
        <v>141.69999999999999</v>
      </c>
      <c r="E11" s="262">
        <v>146.1</v>
      </c>
      <c r="F11" s="262">
        <v>149.19999999999999</v>
      </c>
      <c r="G11" s="262">
        <v>134.6</v>
      </c>
      <c r="H11" s="262">
        <v>135</v>
      </c>
      <c r="I11" s="262">
        <v>136.80000000000001</v>
      </c>
      <c r="J11" s="262">
        <v>140.5</v>
      </c>
      <c r="K11" s="262">
        <v>143.19999999999999</v>
      </c>
      <c r="L11" s="262"/>
      <c r="M11" s="262"/>
      <c r="N11" s="262"/>
    </row>
    <row r="12" spans="1:14" s="39" customFormat="1">
      <c r="A12" s="262" t="s">
        <v>208</v>
      </c>
      <c r="B12" s="262">
        <v>120.5</v>
      </c>
      <c r="C12" s="262">
        <v>122.7</v>
      </c>
      <c r="D12" s="262">
        <v>122.3</v>
      </c>
      <c r="E12" s="262">
        <v>122.2</v>
      </c>
      <c r="F12" s="262">
        <v>122.1</v>
      </c>
      <c r="G12" s="262" t="s">
        <v>206</v>
      </c>
      <c r="H12" s="262" t="s">
        <v>206</v>
      </c>
      <c r="I12" s="262" t="s">
        <v>206</v>
      </c>
      <c r="J12" s="262" t="s">
        <v>206</v>
      </c>
      <c r="K12" s="262" t="s">
        <v>206</v>
      </c>
      <c r="L12" s="262"/>
      <c r="M12" s="262"/>
      <c r="N12" s="262"/>
    </row>
    <row r="13" spans="1:14">
      <c r="A13" s="262" t="s">
        <v>209</v>
      </c>
      <c r="B13" s="262">
        <v>100</v>
      </c>
      <c r="C13" s="262">
        <v>96.3</v>
      </c>
      <c r="D13" s="262">
        <v>96.7</v>
      </c>
      <c r="E13" s="262">
        <v>99.6</v>
      </c>
      <c r="F13" s="262">
        <v>100.2</v>
      </c>
      <c r="G13" s="262" t="s">
        <v>206</v>
      </c>
      <c r="H13" s="262" t="s">
        <v>206</v>
      </c>
      <c r="I13" s="262" t="s">
        <v>206</v>
      </c>
      <c r="J13" s="262" t="s">
        <v>206</v>
      </c>
      <c r="K13" s="262" t="s">
        <v>206</v>
      </c>
      <c r="L13" s="195">
        <f>F13/D13</f>
        <v>1.0361944157187177</v>
      </c>
      <c r="M13" s="262"/>
      <c r="N13" s="262"/>
    </row>
    <row r="14" spans="1:14" s="39" customFormat="1">
      <c r="A14" s="262" t="s">
        <v>10</v>
      </c>
      <c r="B14" s="262">
        <v>120.9</v>
      </c>
      <c r="C14" s="262">
        <v>122.6</v>
      </c>
      <c r="D14" s="262">
        <v>126.4</v>
      </c>
      <c r="E14" s="262">
        <v>131.9</v>
      </c>
      <c r="F14" s="262">
        <v>134.5</v>
      </c>
      <c r="G14" s="262" t="s">
        <v>206</v>
      </c>
      <c r="H14" s="262" t="s">
        <v>206</v>
      </c>
      <c r="I14" s="262" t="s">
        <v>206</v>
      </c>
      <c r="J14" s="262" t="s">
        <v>206</v>
      </c>
      <c r="K14" s="262" t="s">
        <v>206</v>
      </c>
      <c r="L14" s="262"/>
      <c r="M14" s="262"/>
      <c r="N14" s="262"/>
    </row>
    <row r="15" spans="1:14">
      <c r="A15" s="262" t="s">
        <v>210</v>
      </c>
      <c r="B15" s="262">
        <v>143.1</v>
      </c>
      <c r="C15" s="262">
        <v>134.1</v>
      </c>
      <c r="D15" s="262">
        <v>146.69999999999999</v>
      </c>
      <c r="E15" s="262">
        <v>160.4</v>
      </c>
      <c r="F15" s="262">
        <v>153.9</v>
      </c>
      <c r="G15" s="262" t="s">
        <v>206</v>
      </c>
      <c r="H15" s="262" t="s">
        <v>206</v>
      </c>
      <c r="I15" s="262" t="s">
        <v>206</v>
      </c>
      <c r="J15" s="262" t="s">
        <v>206</v>
      </c>
      <c r="K15" s="262" t="s">
        <v>206</v>
      </c>
      <c r="L15" s="262"/>
      <c r="M15" s="262"/>
      <c r="N15" s="262"/>
    </row>
    <row r="16" spans="1:14">
      <c r="A16" s="262" t="s">
        <v>211</v>
      </c>
      <c r="B16" s="262">
        <v>117.6</v>
      </c>
      <c r="C16" s="262">
        <v>119.7</v>
      </c>
      <c r="D16" s="262">
        <v>121.7</v>
      </c>
      <c r="E16" s="262">
        <v>122.5</v>
      </c>
      <c r="F16" s="262">
        <v>122.8</v>
      </c>
      <c r="G16" s="262" t="s">
        <v>206</v>
      </c>
      <c r="H16" s="262" t="s">
        <v>206</v>
      </c>
      <c r="I16" s="262" t="s">
        <v>206</v>
      </c>
      <c r="J16" s="262" t="s">
        <v>206</v>
      </c>
      <c r="K16" s="262" t="s">
        <v>206</v>
      </c>
      <c r="L16" s="262"/>
      <c r="M16" s="262"/>
      <c r="N16" s="262"/>
    </row>
    <row r="17" spans="1:14">
      <c r="A17" s="262" t="s">
        <v>212</v>
      </c>
      <c r="B17" s="262">
        <v>111</v>
      </c>
      <c r="C17" s="262">
        <v>114.6</v>
      </c>
      <c r="D17" s="262">
        <v>117.7</v>
      </c>
      <c r="E17" s="262">
        <v>120.2</v>
      </c>
      <c r="F17" s="262">
        <v>121.9</v>
      </c>
      <c r="G17" s="262" t="s">
        <v>206</v>
      </c>
      <c r="H17" s="262" t="s">
        <v>206</v>
      </c>
      <c r="I17" s="262" t="s">
        <v>206</v>
      </c>
      <c r="J17" s="262" t="s">
        <v>206</v>
      </c>
      <c r="K17" s="262" t="s">
        <v>206</v>
      </c>
      <c r="L17" s="262"/>
      <c r="M17" s="262"/>
      <c r="N17" s="262"/>
    </row>
    <row r="18" spans="1:14">
      <c r="A18" s="262" t="s">
        <v>213</v>
      </c>
      <c r="B18" s="262">
        <v>181.2</v>
      </c>
      <c r="C18" s="262">
        <v>187.3</v>
      </c>
      <c r="D18" s="262">
        <v>193.6</v>
      </c>
      <c r="E18" s="262">
        <v>198.2</v>
      </c>
      <c r="F18" s="262">
        <v>201.6</v>
      </c>
      <c r="G18" s="262" t="s">
        <v>206</v>
      </c>
      <c r="H18" s="262" t="s">
        <v>206</v>
      </c>
      <c r="I18" s="262" t="s">
        <v>206</v>
      </c>
      <c r="J18" s="262" t="s">
        <v>206</v>
      </c>
      <c r="K18" s="262" t="s">
        <v>206</v>
      </c>
      <c r="L18" s="262"/>
      <c r="M18" s="262"/>
      <c r="N18" s="262"/>
    </row>
    <row r="19" spans="1:14">
      <c r="A19" s="262" t="s">
        <v>214</v>
      </c>
      <c r="B19" s="262">
        <v>109.7</v>
      </c>
      <c r="C19" s="262">
        <v>113.7</v>
      </c>
      <c r="D19" s="262">
        <v>115</v>
      </c>
      <c r="E19" s="262">
        <v>117.6</v>
      </c>
      <c r="F19" s="262">
        <v>122.3</v>
      </c>
      <c r="G19" s="262" t="s">
        <v>206</v>
      </c>
      <c r="H19" s="262" t="s">
        <v>206</v>
      </c>
      <c r="I19" s="262" t="s">
        <v>206</v>
      </c>
      <c r="J19" s="262" t="s">
        <v>206</v>
      </c>
      <c r="K19" s="262" t="s">
        <v>206</v>
      </c>
      <c r="L19" s="262"/>
      <c r="M19" s="262"/>
      <c r="N19" s="262"/>
    </row>
    <row r="20" spans="1:14" s="206" customFormat="1">
      <c r="A20" s="262" t="s">
        <v>215</v>
      </c>
      <c r="B20" s="222">
        <v>138</v>
      </c>
      <c r="C20" s="222">
        <v>135.80000000000001</v>
      </c>
      <c r="D20" s="222">
        <v>141.30000000000001</v>
      </c>
      <c r="E20" s="222">
        <v>149.69999999999999</v>
      </c>
      <c r="F20" s="222">
        <v>151.69999999999999</v>
      </c>
      <c r="G20" s="262"/>
      <c r="H20" s="262"/>
      <c r="I20" s="262"/>
      <c r="J20" s="262"/>
      <c r="K20" s="262"/>
      <c r="L20" s="262"/>
      <c r="M20" s="262"/>
      <c r="N20" s="262"/>
    </row>
    <row r="21" spans="1:14">
      <c r="A21" s="262" t="s">
        <v>216</v>
      </c>
      <c r="B21" s="262">
        <v>151.9</v>
      </c>
      <c r="C21" s="262">
        <v>150.80000000000001</v>
      </c>
      <c r="D21" s="262">
        <v>152.4</v>
      </c>
      <c r="E21" s="262">
        <v>157.6</v>
      </c>
      <c r="F21" s="262">
        <v>159.19999999999999</v>
      </c>
      <c r="G21" s="262" t="s">
        <v>206</v>
      </c>
      <c r="H21" s="262" t="s">
        <v>206</v>
      </c>
      <c r="I21" s="262" t="s">
        <v>206</v>
      </c>
      <c r="J21" s="262" t="s">
        <v>206</v>
      </c>
      <c r="K21" s="262" t="s">
        <v>206</v>
      </c>
      <c r="L21" s="262"/>
      <c r="M21" s="262"/>
      <c r="N21" s="262"/>
    </row>
    <row r="22" spans="1:14">
      <c r="A22" s="262" t="s">
        <v>217</v>
      </c>
      <c r="B22" s="262">
        <v>157.4</v>
      </c>
      <c r="C22" s="262">
        <v>147.9</v>
      </c>
      <c r="D22" s="262">
        <v>157.5</v>
      </c>
      <c r="E22" s="262">
        <v>170.5</v>
      </c>
      <c r="F22" s="262">
        <v>168.4</v>
      </c>
      <c r="G22" s="262" t="s">
        <v>206</v>
      </c>
      <c r="H22" s="262" t="s">
        <v>206</v>
      </c>
      <c r="I22" s="262" t="s">
        <v>206</v>
      </c>
      <c r="J22" s="262" t="s">
        <v>206</v>
      </c>
      <c r="K22" s="262" t="s">
        <v>206</v>
      </c>
      <c r="L22" s="262"/>
      <c r="M22" s="262"/>
      <c r="N22" s="262"/>
    </row>
    <row r="23" spans="1:14" ht="15.95">
      <c r="A23" s="257" t="s">
        <v>218</v>
      </c>
      <c r="B23" s="257">
        <v>114.2</v>
      </c>
      <c r="C23" s="257">
        <v>115.2</v>
      </c>
      <c r="D23" s="257">
        <v>115.8</v>
      </c>
      <c r="E23" s="257">
        <v>117</v>
      </c>
      <c r="F23" s="257">
        <v>117.9</v>
      </c>
      <c r="G23" s="262"/>
      <c r="H23" s="262"/>
      <c r="I23" s="262"/>
      <c r="J23" s="195"/>
      <c r="K23" s="262"/>
      <c r="L23" s="262"/>
      <c r="M23" s="262"/>
      <c r="N23" s="262"/>
    </row>
    <row r="24" spans="1:14">
      <c r="A24" s="262" t="s">
        <v>219</v>
      </c>
      <c r="B24" s="262"/>
      <c r="C24" s="262"/>
      <c r="D24" s="262"/>
      <c r="E24" s="262"/>
      <c r="F24" s="262"/>
      <c r="G24" s="262"/>
      <c r="H24" s="262"/>
      <c r="I24" s="262"/>
      <c r="J24" s="262"/>
      <c r="K24" s="262"/>
      <c r="L24" s="262"/>
      <c r="M24" s="262"/>
      <c r="N24" s="262"/>
    </row>
    <row r="25" spans="1:14">
      <c r="A25" s="262" t="s">
        <v>206</v>
      </c>
      <c r="B25" s="262" t="s">
        <v>220</v>
      </c>
      <c r="C25" s="262"/>
      <c r="D25" s="262"/>
      <c r="E25" s="262"/>
      <c r="F25" s="262"/>
      <c r="G25" s="262"/>
      <c r="H25" s="262"/>
      <c r="I25" s="262"/>
      <c r="J25" s="262"/>
      <c r="K25" s="262"/>
      <c r="L25" s="262"/>
      <c r="M25" s="262"/>
      <c r="N25" s="262"/>
    </row>
    <row r="26" spans="1:14">
      <c r="A26" s="262"/>
      <c r="B26" s="262"/>
      <c r="C26" s="262"/>
      <c r="D26" s="262"/>
      <c r="E26" s="262"/>
      <c r="F26" s="262"/>
      <c r="G26" s="262"/>
      <c r="H26" s="262"/>
      <c r="I26" s="262"/>
      <c r="J26" s="262"/>
      <c r="K26" s="262"/>
      <c r="L26" s="262"/>
      <c r="M26" s="262"/>
      <c r="N26" s="262"/>
    </row>
    <row r="27" spans="1:14">
      <c r="A27" s="262" t="s">
        <v>221</v>
      </c>
      <c r="B27" s="262"/>
      <c r="C27" s="262"/>
      <c r="D27" s="262"/>
      <c r="E27" s="262"/>
      <c r="F27" s="262"/>
      <c r="G27" s="262"/>
      <c r="H27" s="262"/>
      <c r="I27" s="262"/>
      <c r="J27" s="262"/>
      <c r="K27" s="262"/>
      <c r="L27" s="262"/>
      <c r="M27" s="262"/>
      <c r="N27" s="262"/>
    </row>
    <row r="28" spans="1:14">
      <c r="A28" s="262">
        <v>1</v>
      </c>
      <c r="B28" s="262" t="s">
        <v>222</v>
      </c>
      <c r="C28" s="262"/>
      <c r="D28" s="262"/>
      <c r="E28" s="262"/>
      <c r="F28" s="262"/>
      <c r="G28" s="262"/>
      <c r="H28" s="262"/>
      <c r="I28" s="262"/>
      <c r="J28" s="262"/>
      <c r="K28" s="262"/>
      <c r="L28" s="262"/>
      <c r="M28" s="262"/>
      <c r="N28" s="262"/>
    </row>
    <row r="29" spans="1:14">
      <c r="A29" s="262">
        <v>2</v>
      </c>
      <c r="B29" s="262" t="s">
        <v>223</v>
      </c>
      <c r="C29" s="262"/>
      <c r="D29" s="262"/>
      <c r="E29" s="262"/>
      <c r="F29" s="262"/>
      <c r="G29" s="262"/>
      <c r="H29" s="262"/>
      <c r="I29" s="262"/>
      <c r="J29" s="262"/>
      <c r="K29" s="262"/>
      <c r="L29" s="262"/>
      <c r="M29" s="262"/>
      <c r="N29" s="262"/>
    </row>
    <row r="30" spans="1:14">
      <c r="A30" s="262">
        <v>3</v>
      </c>
      <c r="B30" s="262" t="s">
        <v>224</v>
      </c>
      <c r="C30" s="262"/>
      <c r="D30" s="262"/>
      <c r="E30" s="262"/>
      <c r="F30" s="262"/>
      <c r="G30" s="262"/>
      <c r="H30" s="262"/>
      <c r="I30" s="262"/>
      <c r="J30" s="262"/>
      <c r="K30" s="262"/>
      <c r="L30" s="262"/>
      <c r="M30" s="262"/>
      <c r="N30" s="262"/>
    </row>
    <row r="31" spans="1:14">
      <c r="A31" s="262">
        <v>4</v>
      </c>
      <c r="B31" s="262" t="s">
        <v>225</v>
      </c>
      <c r="C31" s="262"/>
      <c r="D31" s="262"/>
      <c r="E31" s="262"/>
      <c r="F31" s="262"/>
      <c r="G31" s="262"/>
      <c r="H31" s="262"/>
      <c r="I31" s="262"/>
      <c r="J31" s="262"/>
      <c r="K31" s="262"/>
      <c r="L31" s="262"/>
      <c r="M31" s="262"/>
      <c r="N31" s="262"/>
    </row>
    <row r="32" spans="1:14">
      <c r="A32" s="262">
        <v>5</v>
      </c>
      <c r="B32" s="262" t="s">
        <v>226</v>
      </c>
      <c r="C32" s="262"/>
      <c r="D32" s="262"/>
      <c r="E32" s="262"/>
      <c r="F32" s="262"/>
      <c r="G32" s="262"/>
      <c r="H32" s="262"/>
      <c r="I32" s="262"/>
      <c r="J32" s="262"/>
      <c r="K32" s="262"/>
      <c r="L32" s="262"/>
      <c r="M32" s="262"/>
      <c r="N32" s="262"/>
    </row>
    <row r="33" spans="1:11">
      <c r="A33" s="262">
        <v>6</v>
      </c>
      <c r="B33" s="262" t="s">
        <v>227</v>
      </c>
      <c r="C33" s="262"/>
      <c r="D33" s="262"/>
      <c r="E33" s="262"/>
      <c r="F33" s="262"/>
      <c r="G33" s="262"/>
      <c r="H33" s="262"/>
      <c r="I33" s="262"/>
      <c r="J33" s="262"/>
      <c r="K33" s="262"/>
    </row>
    <row r="34" spans="1:11">
      <c r="A34" s="262">
        <v>7</v>
      </c>
      <c r="B34" s="262" t="s">
        <v>228</v>
      </c>
      <c r="C34" s="262"/>
      <c r="D34" s="262"/>
      <c r="E34" s="262"/>
      <c r="F34" s="262"/>
      <c r="G34" s="262"/>
      <c r="H34" s="262"/>
      <c r="I34" s="262"/>
      <c r="J34" s="262"/>
      <c r="K34" s="262"/>
    </row>
    <row r="35" spans="1:11">
      <c r="A35" s="262"/>
      <c r="B35" s="262"/>
      <c r="C35" s="262"/>
      <c r="D35" s="262"/>
      <c r="E35" s="262"/>
      <c r="F35" s="262"/>
      <c r="G35" s="262"/>
      <c r="H35" s="262"/>
      <c r="I35" s="262"/>
      <c r="J35" s="262"/>
      <c r="K35" s="262"/>
    </row>
    <row r="36" spans="1:11">
      <c r="A36" s="262" t="s">
        <v>229</v>
      </c>
      <c r="B36" s="262"/>
      <c r="C36" s="262"/>
      <c r="D36" s="262"/>
      <c r="E36" s="262"/>
      <c r="F36" s="262"/>
      <c r="G36" s="262"/>
      <c r="H36" s="262"/>
      <c r="I36" s="262"/>
      <c r="J36" s="262"/>
      <c r="K36" s="262"/>
    </row>
    <row r="37" spans="1:11">
      <c r="A37" s="262" t="s">
        <v>230</v>
      </c>
      <c r="B37" s="262"/>
      <c r="C37" s="262"/>
      <c r="D37" s="262"/>
      <c r="E37" s="262"/>
      <c r="F37" s="262"/>
      <c r="G37" s="262"/>
      <c r="H37" s="262"/>
      <c r="I37" s="262"/>
      <c r="J37" s="262"/>
      <c r="K37" s="262"/>
    </row>
    <row r="38" spans="1:11">
      <c r="A38" s="262" t="s">
        <v>231</v>
      </c>
      <c r="B38" s="262"/>
      <c r="C38" s="262"/>
      <c r="D38" s="262"/>
      <c r="E38" s="262"/>
      <c r="F38" s="262"/>
      <c r="G38" s="262"/>
      <c r="H38" s="262"/>
      <c r="I38" s="262"/>
      <c r="J38" s="262"/>
      <c r="K38" s="262"/>
    </row>
    <row r="39" spans="1:11">
      <c r="A39" s="262"/>
      <c r="B39" s="262"/>
      <c r="C39" s="262"/>
      <c r="D39" s="262"/>
      <c r="E39" s="262"/>
      <c r="F39" s="262"/>
      <c r="G39" s="262"/>
      <c r="H39" s="262"/>
      <c r="I39" s="262"/>
      <c r="J39" s="262"/>
      <c r="K39" s="262"/>
    </row>
    <row r="40" spans="1:11">
      <c r="A40" s="262"/>
      <c r="B40" s="262"/>
      <c r="C40" s="262"/>
      <c r="D40" s="262"/>
      <c r="E40" s="262"/>
      <c r="F40" s="262"/>
      <c r="G40" s="262"/>
      <c r="H40" s="262"/>
      <c r="I40" s="262"/>
      <c r="J40" s="262"/>
      <c r="K40" s="262"/>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5"/>
  <sheetViews>
    <sheetView topLeftCell="A5" workbookViewId="0">
      <selection activeCell="G10" sqref="G10"/>
    </sheetView>
  </sheetViews>
  <sheetFormatPr defaultColWidth="8.85546875" defaultRowHeight="15"/>
  <cols>
    <col min="1" max="1" width="33.140625" customWidth="1"/>
    <col min="2" max="2" width="19.140625" customWidth="1"/>
    <col min="3" max="3" width="9.140625" style="39"/>
    <col min="5" max="5" width="12.85546875" customWidth="1"/>
    <col min="6" max="6" width="15.140625" customWidth="1"/>
  </cols>
  <sheetData>
    <row r="1" spans="1:7">
      <c r="A1" s="40" t="s">
        <v>232</v>
      </c>
      <c r="B1" s="262"/>
      <c r="C1" s="262"/>
      <c r="D1" s="262"/>
      <c r="E1" s="262"/>
      <c r="F1" s="262"/>
      <c r="G1" s="262"/>
    </row>
    <row r="2" spans="1:7">
      <c r="A2" s="262" t="s">
        <v>233</v>
      </c>
      <c r="B2" s="262"/>
      <c r="C2" s="262"/>
      <c r="D2" s="262"/>
      <c r="E2" s="262"/>
      <c r="F2" s="262"/>
      <c r="G2" s="262"/>
    </row>
    <row r="3" spans="1:7">
      <c r="A3" s="262" t="s">
        <v>234</v>
      </c>
      <c r="B3" s="262"/>
      <c r="C3" s="262"/>
      <c r="D3" s="262"/>
      <c r="E3" s="262"/>
      <c r="F3" s="262"/>
      <c r="G3" s="262"/>
    </row>
    <row r="4" spans="1:7">
      <c r="A4" s="262" t="s">
        <v>235</v>
      </c>
      <c r="B4" s="262"/>
      <c r="C4" s="262" t="s">
        <v>236</v>
      </c>
      <c r="D4" s="262"/>
      <c r="E4" s="262"/>
      <c r="F4" s="262"/>
      <c r="G4" s="262"/>
    </row>
    <row r="5" spans="1:7">
      <c r="A5" s="40" t="s">
        <v>237</v>
      </c>
      <c r="B5" s="40" t="s">
        <v>238</v>
      </c>
      <c r="C5" s="40">
        <v>2016</v>
      </c>
      <c r="D5" s="40"/>
      <c r="E5" s="40">
        <v>2018</v>
      </c>
      <c r="F5" s="262"/>
      <c r="G5" s="262"/>
    </row>
    <row r="6" spans="1:7">
      <c r="A6" s="262" t="s">
        <v>239</v>
      </c>
      <c r="B6" s="262" t="s">
        <v>240</v>
      </c>
      <c r="C6" s="262">
        <v>39336</v>
      </c>
      <c r="D6" s="67"/>
      <c r="E6" s="33">
        <v>41588</v>
      </c>
      <c r="F6" s="262" t="s">
        <v>31</v>
      </c>
      <c r="G6" s="262"/>
    </row>
    <row r="7" spans="1:7">
      <c r="A7" s="262" t="s">
        <v>239</v>
      </c>
      <c r="B7" s="262" t="s">
        <v>7</v>
      </c>
      <c r="C7" s="262">
        <v>13075</v>
      </c>
      <c r="D7" s="67"/>
      <c r="E7" s="33">
        <v>12528</v>
      </c>
      <c r="F7" s="262"/>
      <c r="G7" s="262"/>
    </row>
    <row r="8" spans="1:7">
      <c r="A8" s="262" t="s">
        <v>239</v>
      </c>
      <c r="B8" s="262" t="s">
        <v>241</v>
      </c>
      <c r="C8" s="262">
        <v>1874</v>
      </c>
      <c r="D8" s="67"/>
      <c r="E8" s="33">
        <v>2227</v>
      </c>
      <c r="F8" s="262"/>
      <c r="G8" s="262"/>
    </row>
    <row r="9" spans="1:7">
      <c r="A9" s="262" t="s">
        <v>239</v>
      </c>
      <c r="B9" s="262" t="s">
        <v>10</v>
      </c>
      <c r="C9" s="8">
        <v>4962</v>
      </c>
      <c r="D9" s="33"/>
      <c r="E9" s="33">
        <v>4563</v>
      </c>
      <c r="F9" s="262"/>
      <c r="G9" s="262"/>
    </row>
    <row r="10" spans="1:7">
      <c r="A10" s="262" t="s">
        <v>239</v>
      </c>
      <c r="B10" s="262" t="s">
        <v>9</v>
      </c>
      <c r="C10" s="262">
        <v>8158</v>
      </c>
      <c r="D10" s="67"/>
      <c r="E10" s="33">
        <v>9842</v>
      </c>
      <c r="F10" s="262"/>
      <c r="G10" s="262">
        <f>858*12</f>
        <v>10296</v>
      </c>
    </row>
    <row r="11" spans="1:7">
      <c r="A11" s="262" t="s">
        <v>239</v>
      </c>
      <c r="B11" s="262" t="s">
        <v>242</v>
      </c>
      <c r="C11" s="262">
        <v>11267</v>
      </c>
      <c r="D11" s="67"/>
      <c r="E11" s="33">
        <v>12221</v>
      </c>
      <c r="F11" s="262"/>
      <c r="G11" s="262"/>
    </row>
    <row r="12" spans="1:7" s="206" customFormat="1">
      <c r="A12" s="262"/>
      <c r="B12" s="262"/>
      <c r="C12" s="262"/>
      <c r="D12" s="67"/>
      <c r="E12" s="262"/>
      <c r="F12" s="262"/>
      <c r="G12" s="262"/>
    </row>
    <row r="13" spans="1:7">
      <c r="A13" s="262" t="s">
        <v>243</v>
      </c>
      <c r="B13" s="262" t="s">
        <v>240</v>
      </c>
      <c r="C13" s="262">
        <v>39520</v>
      </c>
      <c r="D13" s="85"/>
      <c r="E13" s="33">
        <v>42494</v>
      </c>
      <c r="F13" s="262"/>
      <c r="G13" s="262"/>
    </row>
    <row r="14" spans="1:7">
      <c r="A14" s="262" t="s">
        <v>243</v>
      </c>
      <c r="B14" s="262" t="s">
        <v>7</v>
      </c>
      <c r="C14" s="262">
        <v>13075</v>
      </c>
      <c r="D14" s="67"/>
      <c r="E14" s="33">
        <v>12528</v>
      </c>
      <c r="F14" s="262"/>
      <c r="G14" s="262"/>
    </row>
    <row r="15" spans="1:7">
      <c r="A15" s="262" t="s">
        <v>243</v>
      </c>
      <c r="B15" s="262" t="s">
        <v>241</v>
      </c>
      <c r="C15" s="82">
        <v>1874</v>
      </c>
      <c r="D15" s="86">
        <f>C18/(C14+C15)</f>
        <v>0.75369589939126358</v>
      </c>
      <c r="E15" s="33">
        <v>2207</v>
      </c>
      <c r="F15" s="262"/>
      <c r="G15" s="262"/>
    </row>
    <row r="16" spans="1:7">
      <c r="A16" s="262" t="s">
        <v>243</v>
      </c>
      <c r="B16" s="262" t="s">
        <v>10</v>
      </c>
      <c r="C16" s="82">
        <v>4962</v>
      </c>
      <c r="D16" s="85"/>
      <c r="E16" s="33">
        <v>4790</v>
      </c>
      <c r="F16" s="262"/>
      <c r="G16" s="262"/>
    </row>
    <row r="17" spans="1:5">
      <c r="A17" s="262" t="s">
        <v>243</v>
      </c>
      <c r="B17" s="262" t="s">
        <v>9</v>
      </c>
      <c r="C17" s="262">
        <v>8343</v>
      </c>
      <c r="D17" s="67"/>
      <c r="E17" s="33">
        <v>10747</v>
      </c>
    </row>
    <row r="18" spans="1:5">
      <c r="A18" s="262" t="s">
        <v>243</v>
      </c>
      <c r="B18" s="262" t="s">
        <v>242</v>
      </c>
      <c r="C18" s="262">
        <v>11267</v>
      </c>
      <c r="D18" s="84"/>
      <c r="E18" s="33">
        <v>12221</v>
      </c>
    </row>
    <row r="19" spans="1:5" s="206" customFormat="1">
      <c r="A19" s="262"/>
      <c r="B19" s="262"/>
      <c r="C19" s="262"/>
      <c r="D19" s="84"/>
      <c r="E19" s="262"/>
    </row>
    <row r="20" spans="1:5">
      <c r="A20" s="262" t="s">
        <v>244</v>
      </c>
      <c r="B20" s="262" t="s">
        <v>240</v>
      </c>
      <c r="C20" s="262">
        <v>37487</v>
      </c>
      <c r="D20" s="67"/>
      <c r="E20" s="33">
        <v>42800</v>
      </c>
    </row>
    <row r="21" spans="1:5">
      <c r="A21" s="262" t="s">
        <v>244</v>
      </c>
      <c r="B21" s="262" t="s">
        <v>7</v>
      </c>
      <c r="C21" s="262">
        <v>13075</v>
      </c>
      <c r="D21" s="67"/>
      <c r="E21" s="33">
        <v>12528</v>
      </c>
    </row>
    <row r="22" spans="1:5">
      <c r="A22" s="262" t="s">
        <v>244</v>
      </c>
      <c r="B22" s="262" t="s">
        <v>241</v>
      </c>
      <c r="C22" s="262">
        <v>1874</v>
      </c>
      <c r="D22" s="67"/>
      <c r="E22" s="33">
        <v>2207</v>
      </c>
    </row>
    <row r="23" spans="1:5">
      <c r="A23" s="262" t="s">
        <v>244</v>
      </c>
      <c r="B23" s="262" t="s">
        <v>10</v>
      </c>
      <c r="C23" s="262">
        <v>2683</v>
      </c>
      <c r="D23" s="67"/>
      <c r="E23" s="33">
        <v>4328</v>
      </c>
    </row>
    <row r="24" spans="1:5">
      <c r="A24" s="262" t="s">
        <v>244</v>
      </c>
      <c r="B24" s="262" t="s">
        <v>9</v>
      </c>
      <c r="C24" s="262">
        <v>8589</v>
      </c>
      <c r="D24" s="67"/>
      <c r="E24" s="33">
        <v>11516</v>
      </c>
    </row>
    <row r="25" spans="1:5">
      <c r="A25" s="262" t="s">
        <v>244</v>
      </c>
      <c r="B25" s="262" t="s">
        <v>242</v>
      </c>
      <c r="C25" s="262">
        <v>11267</v>
      </c>
      <c r="D25" s="67"/>
      <c r="E25" s="33">
        <v>12221</v>
      </c>
    </row>
    <row r="26" spans="1:5" s="206" customFormat="1">
      <c r="A26" s="262"/>
      <c r="B26" s="262"/>
      <c r="C26" s="262"/>
      <c r="D26" s="67"/>
      <c r="E26" s="262"/>
    </row>
    <row r="27" spans="1:5" s="39" customFormat="1">
      <c r="A27" s="262" t="s">
        <v>245</v>
      </c>
      <c r="B27" s="262" t="s">
        <v>240</v>
      </c>
      <c r="C27" s="262">
        <v>38284</v>
      </c>
      <c r="D27" s="67"/>
      <c r="E27" s="33">
        <v>45197</v>
      </c>
    </row>
    <row r="28" spans="1:5">
      <c r="A28" s="262" t="s">
        <v>245</v>
      </c>
      <c r="B28" s="262" t="s">
        <v>7</v>
      </c>
      <c r="C28" s="262">
        <v>12236</v>
      </c>
      <c r="D28" s="67"/>
      <c r="E28" s="33">
        <v>12001</v>
      </c>
    </row>
    <row r="29" spans="1:5">
      <c r="A29" s="262" t="s">
        <v>245</v>
      </c>
      <c r="B29" s="262" t="s">
        <v>241</v>
      </c>
      <c r="C29" s="262">
        <v>1874</v>
      </c>
      <c r="D29" s="67"/>
      <c r="E29" s="33">
        <v>2207</v>
      </c>
    </row>
    <row r="30" spans="1:5">
      <c r="A30" s="262" t="s">
        <v>245</v>
      </c>
      <c r="B30" s="262" t="s">
        <v>10</v>
      </c>
      <c r="C30" s="262">
        <v>2854</v>
      </c>
      <c r="D30" s="67"/>
      <c r="E30" s="33">
        <v>3852</v>
      </c>
    </row>
    <row r="31" spans="1:5">
      <c r="A31" s="262" t="s">
        <v>245</v>
      </c>
      <c r="B31" s="262" t="s">
        <v>9</v>
      </c>
      <c r="C31" s="262">
        <v>10685</v>
      </c>
      <c r="D31" s="67"/>
      <c r="E31" s="33">
        <v>15312</v>
      </c>
    </row>
    <row r="32" spans="1:5">
      <c r="A32" s="262" t="s">
        <v>245</v>
      </c>
      <c r="B32" s="262" t="s">
        <v>242</v>
      </c>
      <c r="C32" s="262">
        <v>10634</v>
      </c>
      <c r="D32" s="188">
        <f>C32/(C28+C29)</f>
        <v>0.75364989369241675</v>
      </c>
      <c r="E32" s="33">
        <v>11824</v>
      </c>
    </row>
    <row r="33" spans="1:5" s="206" customFormat="1">
      <c r="A33" s="262"/>
      <c r="B33" s="262"/>
      <c r="C33" s="262"/>
      <c r="D33" s="188"/>
      <c r="E33" s="262"/>
    </row>
    <row r="34" spans="1:5">
      <c r="A34" s="262" t="s">
        <v>246</v>
      </c>
      <c r="B34" s="262" t="s">
        <v>240</v>
      </c>
      <c r="C34" s="262">
        <v>35695</v>
      </c>
      <c r="D34" s="67"/>
      <c r="E34" s="33">
        <v>41533</v>
      </c>
    </row>
    <row r="35" spans="1:5" s="39" customFormat="1">
      <c r="A35" s="262" t="s">
        <v>246</v>
      </c>
      <c r="B35" s="262" t="s">
        <v>7</v>
      </c>
      <c r="C35" s="262">
        <v>12611</v>
      </c>
      <c r="D35" s="67"/>
      <c r="E35" s="33">
        <v>11750</v>
      </c>
    </row>
    <row r="36" spans="1:5">
      <c r="A36" s="262" t="s">
        <v>246</v>
      </c>
      <c r="B36" s="262" t="s">
        <v>241</v>
      </c>
      <c r="C36" s="262">
        <v>1874</v>
      </c>
      <c r="D36" s="67"/>
      <c r="E36" s="33">
        <v>2207</v>
      </c>
    </row>
    <row r="37" spans="1:5">
      <c r="A37" s="262" t="s">
        <v>246</v>
      </c>
      <c r="B37" s="262" t="s">
        <v>10</v>
      </c>
      <c r="C37" s="262">
        <v>2026</v>
      </c>
      <c r="D37" s="67"/>
      <c r="E37" s="33">
        <v>4176</v>
      </c>
    </row>
    <row r="38" spans="1:5">
      <c r="A38" s="262" t="s">
        <v>246</v>
      </c>
      <c r="B38" s="262" t="s">
        <v>9</v>
      </c>
      <c r="C38" s="262">
        <v>8267</v>
      </c>
      <c r="D38" s="67"/>
      <c r="E38" s="33">
        <v>11764</v>
      </c>
    </row>
    <row r="39" spans="1:5">
      <c r="A39" s="262" t="s">
        <v>246</v>
      </c>
      <c r="B39" s="262" t="s">
        <v>242</v>
      </c>
      <c r="C39" s="262">
        <v>10917</v>
      </c>
      <c r="D39" s="67"/>
      <c r="E39" s="33">
        <v>11635</v>
      </c>
    </row>
    <row r="40" spans="1:5">
      <c r="A40" s="262"/>
      <c r="B40" s="262"/>
      <c r="C40" s="262"/>
      <c r="D40" s="67"/>
      <c r="E40" s="262"/>
    </row>
    <row r="41" spans="1:5">
      <c r="A41" s="262"/>
      <c r="B41" s="262"/>
      <c r="C41" s="262"/>
      <c r="D41" s="67"/>
      <c r="E41" s="262"/>
    </row>
    <row r="42" spans="1:5">
      <c r="A42" s="262"/>
      <c r="B42" s="262"/>
      <c r="C42" s="262"/>
      <c r="D42" s="262"/>
      <c r="E42" s="262"/>
    </row>
    <row r="43" spans="1:5">
      <c r="A43" s="262"/>
      <c r="B43" s="262"/>
      <c r="C43" s="262"/>
      <c r="D43" s="262"/>
      <c r="E43" s="262"/>
    </row>
    <row r="44" spans="1:5">
      <c r="A44" s="262" t="s">
        <v>247</v>
      </c>
      <c r="B44" s="262"/>
      <c r="C44" s="262"/>
      <c r="D44" s="262"/>
      <c r="E44" s="262"/>
    </row>
    <row r="45" spans="1:5">
      <c r="A45" s="262" t="s">
        <v>248</v>
      </c>
      <c r="B45" s="262"/>
      <c r="C45" s="262"/>
      <c r="D45" s="262"/>
      <c r="E45" s="262"/>
    </row>
    <row r="46" spans="1:5">
      <c r="A46" s="262" t="s">
        <v>249</v>
      </c>
      <c r="B46" s="262"/>
      <c r="C46" s="262"/>
      <c r="D46" s="262"/>
      <c r="E46" s="262"/>
    </row>
    <row r="47" spans="1:5">
      <c r="A47" s="262" t="s">
        <v>250</v>
      </c>
      <c r="B47" s="262"/>
      <c r="C47" s="262"/>
      <c r="D47" s="262"/>
      <c r="E47" s="262"/>
    </row>
    <row r="50" spans="1:3">
      <c r="A50" s="262" t="s">
        <v>251</v>
      </c>
      <c r="B50" s="262">
        <f>E27*0.5</f>
        <v>22598.5</v>
      </c>
      <c r="C50" s="262">
        <f>B50/12</f>
        <v>1883.2083333333333</v>
      </c>
    </row>
    <row r="51" spans="1:3">
      <c r="A51" s="262" t="s">
        <v>252</v>
      </c>
      <c r="B51" s="262">
        <f>E27*0.7</f>
        <v>31637.899999999998</v>
      </c>
      <c r="C51" s="262">
        <f>B51/12</f>
        <v>2636.4916666666663</v>
      </c>
    </row>
    <row r="52" spans="1:3">
      <c r="A52" s="262"/>
      <c r="B52" s="262"/>
      <c r="C52" s="262"/>
    </row>
    <row r="53" spans="1:3">
      <c r="A53" s="226"/>
      <c r="B53" s="262"/>
      <c r="C53" s="262"/>
    </row>
    <row r="54" spans="1:3">
      <c r="A54" s="226"/>
      <c r="B54" s="262"/>
      <c r="C54" s="262"/>
    </row>
    <row r="55" spans="1:3">
      <c r="A55" s="226"/>
      <c r="B55" s="262"/>
      <c r="C55" s="262"/>
    </row>
    <row r="56" spans="1:3">
      <c r="A56" s="226"/>
      <c r="B56" s="262"/>
      <c r="C56" s="262"/>
    </row>
    <row r="57" spans="1:3">
      <c r="A57" s="226"/>
      <c r="B57" s="262"/>
      <c r="C57" s="262"/>
    </row>
    <row r="58" spans="1:3">
      <c r="A58" s="226"/>
      <c r="B58" s="262"/>
      <c r="C58" s="262"/>
    </row>
    <row r="59" spans="1:3">
      <c r="A59" s="226"/>
      <c r="B59" s="262"/>
      <c r="C59" s="262"/>
    </row>
    <row r="60" spans="1:3">
      <c r="A60" s="226"/>
      <c r="B60" s="262"/>
      <c r="C60" s="262"/>
    </row>
    <row r="61" spans="1:3">
      <c r="A61" s="262"/>
      <c r="B61" s="262"/>
      <c r="C61" s="262"/>
    </row>
    <row r="62" spans="1:3">
      <c r="A62" s="262"/>
      <c r="B62" s="262"/>
      <c r="C62" s="262"/>
    </row>
    <row r="63" spans="1:3">
      <c r="A63" s="262"/>
      <c r="B63" s="262"/>
      <c r="C63" s="262"/>
    </row>
    <row r="64" spans="1:3">
      <c r="A64" s="262"/>
      <c r="B64" s="262"/>
      <c r="C64" s="262"/>
    </row>
    <row r="65" spans="1:2">
      <c r="A65" s="227"/>
      <c r="B65" s="26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topLeftCell="A16" zoomScale="115" zoomScaleNormal="115" workbookViewId="0">
      <selection activeCell="A61" sqref="A61"/>
    </sheetView>
  </sheetViews>
  <sheetFormatPr defaultColWidth="8.85546875" defaultRowHeight="15"/>
  <cols>
    <col min="1" max="1" width="36" style="63" customWidth="1"/>
    <col min="2" max="2" width="10.28515625" style="74" customWidth="1"/>
    <col min="3" max="3" width="14.28515625" style="63" customWidth="1"/>
    <col min="4" max="4" width="9.140625" style="63" bestFit="1" customWidth="1"/>
    <col min="5" max="16384" width="8.85546875" style="63"/>
  </cols>
  <sheetData>
    <row r="1" spans="1:6">
      <c r="A1" s="287" t="s">
        <v>253</v>
      </c>
      <c r="B1" s="287"/>
    </row>
    <row r="2" spans="1:6">
      <c r="A2" s="4"/>
      <c r="B2" s="9"/>
    </row>
    <row r="3" spans="1:6">
      <c r="A3" s="288" t="s">
        <v>254</v>
      </c>
      <c r="B3" s="271"/>
    </row>
    <row r="4" spans="1:6">
      <c r="A4" s="77" t="s">
        <v>255</v>
      </c>
      <c r="B4" s="217">
        <v>1375</v>
      </c>
      <c r="C4" s="233"/>
      <c r="D4" s="258"/>
      <c r="E4" s="200"/>
      <c r="F4" s="207"/>
    </row>
    <row r="5" spans="1:6">
      <c r="A5" s="77" t="s">
        <v>256</v>
      </c>
      <c r="B5" s="256">
        <v>25</v>
      </c>
    </row>
    <row r="6" spans="1:6">
      <c r="A6" s="289" t="s">
        <v>257</v>
      </c>
      <c r="B6" s="289"/>
    </row>
    <row r="7" spans="1:6">
      <c r="A7" s="290" t="s">
        <v>258</v>
      </c>
      <c r="B7" s="291">
        <v>10.83</v>
      </c>
    </row>
    <row r="8" spans="1:6">
      <c r="A8" s="77" t="s">
        <v>259</v>
      </c>
      <c r="B8" s="291">
        <f>1100*0.15603</f>
        <v>171.63300000000001</v>
      </c>
      <c r="C8" s="68"/>
    </row>
    <row r="9" spans="1:6">
      <c r="A9" s="77" t="s">
        <v>260</v>
      </c>
      <c r="B9" s="291">
        <f>SUM(B7:B8)*0.15</f>
        <v>27.369450000000004</v>
      </c>
    </row>
    <row r="10" spans="1:6">
      <c r="A10" s="77" t="s">
        <v>17</v>
      </c>
      <c r="B10" s="291">
        <f>SUM(B7:B9)</f>
        <v>209.83245000000002</v>
      </c>
    </row>
    <row r="11" spans="1:6">
      <c r="A11" s="77" t="s">
        <v>261</v>
      </c>
      <c r="B11" s="292">
        <f>-(B10*10%)</f>
        <v>-20.983245000000004</v>
      </c>
    </row>
    <row r="12" spans="1:6">
      <c r="A12" s="87" t="s">
        <v>262</v>
      </c>
      <c r="B12" s="189">
        <f>SUM(B10:B11)</f>
        <v>188.84920500000001</v>
      </c>
    </row>
    <row r="13" spans="1:6">
      <c r="A13" s="241" t="s">
        <v>263</v>
      </c>
      <c r="B13" s="235">
        <f>(40+((89+(89*15%))/12))</f>
        <v>48.529166666666669</v>
      </c>
    </row>
    <row r="14" spans="1:6">
      <c r="A14" s="87" t="s">
        <v>264</v>
      </c>
      <c r="B14" s="223">
        <f>SUM(B12:B13)</f>
        <v>237.37837166666668</v>
      </c>
    </row>
    <row r="15" spans="1:6">
      <c r="A15" s="87" t="s">
        <v>265</v>
      </c>
      <c r="B15" s="223">
        <f>B4+B5+B14</f>
        <v>1637.3783716666667</v>
      </c>
    </row>
    <row r="16" spans="1:6">
      <c r="A16" s="293"/>
      <c r="B16" s="294"/>
    </row>
    <row r="17" spans="1:3">
      <c r="A17" s="87" t="s">
        <v>241</v>
      </c>
      <c r="B17" s="31"/>
    </row>
    <row r="18" spans="1:3">
      <c r="A18" s="77" t="s">
        <v>266</v>
      </c>
      <c r="B18" s="189">
        <f>MBM!E29*(CPI!F13/CPI!E13)</f>
        <v>2220.2951807228919</v>
      </c>
    </row>
    <row r="19" spans="1:3">
      <c r="A19" s="87" t="s">
        <v>267</v>
      </c>
      <c r="B19" s="31">
        <f>B18/12</f>
        <v>185.02459839357434</v>
      </c>
    </row>
    <row r="20" spans="1:3">
      <c r="A20" s="64"/>
      <c r="B20" s="7"/>
    </row>
    <row r="21" spans="1:3">
      <c r="A21" s="65" t="s">
        <v>268</v>
      </c>
      <c r="B21" s="189">
        <f>(MBM!E32*60%)*(CPI!K9/CPI!J9)</f>
        <v>7200.2865671641794</v>
      </c>
      <c r="C21" s="66"/>
    </row>
    <row r="22" spans="1:3">
      <c r="A22" s="236" t="s">
        <v>267</v>
      </c>
      <c r="B22" s="31">
        <f>B21/12</f>
        <v>600.02388059701491</v>
      </c>
      <c r="C22" s="66"/>
    </row>
    <row r="23" spans="1:3">
      <c r="A23" s="65"/>
      <c r="B23" s="189"/>
      <c r="C23" s="66"/>
    </row>
    <row r="24" spans="1:3">
      <c r="A24" s="77" t="s">
        <v>269</v>
      </c>
      <c r="B24" s="189">
        <f>(MBM!E32*40%)*CPI!K9/CPI!J9</f>
        <v>4800.1910447761202</v>
      </c>
    </row>
    <row r="25" spans="1:3">
      <c r="A25" s="87" t="s">
        <v>267</v>
      </c>
      <c r="B25" s="221">
        <f>B24/12</f>
        <v>400.01592039801</v>
      </c>
    </row>
    <row r="26" spans="1:3">
      <c r="A26" s="295"/>
      <c r="B26" s="296"/>
    </row>
    <row r="27" spans="1:3">
      <c r="A27" s="288" t="s">
        <v>10</v>
      </c>
      <c r="B27" s="297"/>
    </row>
    <row r="28" spans="1:3">
      <c r="A28" s="79" t="s">
        <v>270</v>
      </c>
      <c r="B28" s="69">
        <f>82.5*12</f>
        <v>990</v>
      </c>
    </row>
    <row r="29" spans="1:3">
      <c r="A29" s="77" t="s">
        <v>271</v>
      </c>
      <c r="B29" s="75">
        <f>MBM!E16*(CPI!F20/CPI!E20)</f>
        <v>4853.994655978624</v>
      </c>
      <c r="C29" s="218"/>
    </row>
    <row r="30" spans="1:3">
      <c r="A30" s="77" t="s">
        <v>272</v>
      </c>
      <c r="B30" s="75">
        <f>(15*52)</f>
        <v>780</v>
      </c>
      <c r="C30" s="218"/>
    </row>
    <row r="31" spans="1:3">
      <c r="A31" s="87" t="s">
        <v>273</v>
      </c>
      <c r="B31" s="190">
        <f>SUM(B28:B30)</f>
        <v>6623.994655978624</v>
      </c>
      <c r="C31" s="66"/>
    </row>
    <row r="32" spans="1:3">
      <c r="A32" s="87" t="s">
        <v>267</v>
      </c>
      <c r="B32" s="190">
        <f>B31/12</f>
        <v>551.9995546648853</v>
      </c>
      <c r="C32" s="66"/>
    </row>
    <row r="33" spans="1:6">
      <c r="A33" s="293"/>
      <c r="B33" s="296"/>
    </row>
    <row r="34" spans="1:6">
      <c r="A34" s="265" t="s">
        <v>14</v>
      </c>
      <c r="B34" s="32"/>
      <c r="C34" s="6"/>
      <c r="D34" s="3"/>
      <c r="E34" s="3"/>
      <c r="F34" s="3"/>
    </row>
    <row r="35" spans="1:6">
      <c r="A35" s="77" t="s">
        <v>274</v>
      </c>
      <c r="B35" s="291">
        <f>439*1.03</f>
        <v>452.17</v>
      </c>
      <c r="C35" s="298"/>
    </row>
    <row r="36" spans="1:6">
      <c r="A36" s="77" t="s">
        <v>275</v>
      </c>
      <c r="B36" s="291">
        <v>50</v>
      </c>
      <c r="C36" s="295"/>
    </row>
    <row r="37" spans="1:6">
      <c r="A37" s="77" t="s">
        <v>276</v>
      </c>
      <c r="B37" s="291">
        <v>195.56</v>
      </c>
      <c r="C37" s="295"/>
    </row>
    <row r="38" spans="1:6">
      <c r="A38" s="87" t="s">
        <v>277</v>
      </c>
      <c r="B38" s="299">
        <f>(B35+B36+B37)*2</f>
        <v>1395.46</v>
      </c>
      <c r="C38" s="295"/>
    </row>
    <row r="39" spans="1:6">
      <c r="A39" s="87" t="s">
        <v>267</v>
      </c>
      <c r="B39" s="299">
        <f>B38/12</f>
        <v>116.28833333333334</v>
      </c>
      <c r="C39" s="295"/>
    </row>
    <row r="40" spans="1:6">
      <c r="A40" s="264"/>
      <c r="C40" s="295"/>
    </row>
    <row r="41" spans="1:6">
      <c r="A41" s="300" t="s">
        <v>11</v>
      </c>
      <c r="B41" s="301"/>
      <c r="C41" s="295"/>
    </row>
    <row r="42" spans="1:6">
      <c r="A42" s="78" t="s">
        <v>278</v>
      </c>
      <c r="B42" s="69">
        <f>829*12</f>
        <v>9948</v>
      </c>
      <c r="C42" s="68"/>
    </row>
    <row r="43" spans="1:6">
      <c r="A43" s="78" t="s">
        <v>279</v>
      </c>
      <c r="B43" s="69">
        <f>20*195</f>
        <v>3900</v>
      </c>
      <c r="D43" s="66"/>
    </row>
    <row r="44" spans="1:6">
      <c r="A44" s="78" t="s">
        <v>280</v>
      </c>
      <c r="B44" s="69">
        <f>193*7</f>
        <v>1351</v>
      </c>
      <c r="D44" s="66"/>
    </row>
    <row r="45" spans="1:6">
      <c r="A45" s="78" t="s">
        <v>281</v>
      </c>
      <c r="B45" s="69">
        <f>30*21</f>
        <v>630</v>
      </c>
    </row>
    <row r="46" spans="1:6">
      <c r="A46" s="225" t="s">
        <v>282</v>
      </c>
      <c r="B46" s="69">
        <v>0</v>
      </c>
    </row>
    <row r="47" spans="1:6">
      <c r="A47" s="237" t="s">
        <v>273</v>
      </c>
      <c r="B47" s="302">
        <f>SUM(B42:B46)</f>
        <v>15829</v>
      </c>
    </row>
    <row r="48" spans="1:6">
      <c r="A48" s="237" t="s">
        <v>267</v>
      </c>
      <c r="B48" s="302">
        <f>B47/12</f>
        <v>1319.0833333333333</v>
      </c>
    </row>
    <row r="49" spans="1:7">
      <c r="A49" s="303"/>
      <c r="B49" s="303"/>
    </row>
    <row r="50" spans="1:7">
      <c r="A50" s="220" t="s">
        <v>283</v>
      </c>
      <c r="B50" s="304"/>
      <c r="C50" s="68"/>
      <c r="F50" s="285"/>
      <c r="G50" s="286"/>
    </row>
    <row r="51" spans="1:7">
      <c r="A51" s="239" t="s">
        <v>284</v>
      </c>
      <c r="B51" s="240">
        <v>245.6</v>
      </c>
      <c r="C51" s="68"/>
      <c r="F51" s="263"/>
      <c r="G51" s="264"/>
    </row>
    <row r="52" spans="1:7">
      <c r="A52" s="239" t="s">
        <v>285</v>
      </c>
      <c r="B52" s="240">
        <v>290.29000000000002</v>
      </c>
      <c r="C52" s="68"/>
      <c r="D52" s="66"/>
      <c r="F52" s="263"/>
      <c r="G52" s="264"/>
    </row>
    <row r="53" spans="1:7">
      <c r="A53" s="234" t="s">
        <v>286</v>
      </c>
      <c r="B53" s="240">
        <f>170.34</f>
        <v>170.34</v>
      </c>
      <c r="C53" s="68"/>
      <c r="F53" s="263"/>
      <c r="G53" s="264"/>
    </row>
    <row r="54" spans="1:7">
      <c r="A54" s="234" t="s">
        <v>287</v>
      </c>
      <c r="B54" s="240">
        <f>134.66</f>
        <v>134.66</v>
      </c>
      <c r="C54" s="68"/>
      <c r="F54" s="263"/>
      <c r="G54" s="264"/>
    </row>
    <row r="55" spans="1:7">
      <c r="A55" s="241" t="s">
        <v>288</v>
      </c>
      <c r="B55" s="242">
        <f>815.89*(CPI!F10/CPI!D10)</f>
        <v>841.18039083557949</v>
      </c>
      <c r="C55" s="68"/>
      <c r="F55" s="263"/>
      <c r="G55" s="264"/>
    </row>
    <row r="56" spans="1:7">
      <c r="A56" s="219"/>
      <c r="B56" s="305"/>
      <c r="C56" s="68"/>
      <c r="F56" s="263"/>
      <c r="G56" s="264"/>
    </row>
    <row r="57" spans="1:7">
      <c r="A57" s="88" t="s">
        <v>289</v>
      </c>
      <c r="B57" s="89"/>
      <c r="C57" s="1"/>
    </row>
    <row r="58" spans="1:7">
      <c r="A58" s="90" t="s">
        <v>290</v>
      </c>
      <c r="B58" s="73">
        <v>176.33</v>
      </c>
    </row>
    <row r="59" spans="1:7">
      <c r="A59" s="224" t="s">
        <v>273</v>
      </c>
      <c r="B59" s="75">
        <f>B58*12</f>
        <v>2115.96</v>
      </c>
    </row>
    <row r="60" spans="1:7">
      <c r="B60" s="238"/>
    </row>
  </sheetData>
  <mergeCells count="6">
    <mergeCell ref="F50:G50"/>
    <mergeCell ref="A1:B1"/>
    <mergeCell ref="A27:B27"/>
    <mergeCell ref="A49:B49"/>
    <mergeCell ref="A6:B6"/>
    <mergeCell ref="A3:B3"/>
  </mergeCells>
  <pageMargins left="0.7" right="0.7" top="0.75" bottom="0.75" header="0.3" footer="0.3"/>
  <pageSetup orientation="portrait"/>
  <ignoredErrors>
    <ignoredError sqref="B13"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Partridge</dc:creator>
  <cp:keywords/>
  <dc:description/>
  <cp:lastModifiedBy>Christine Saulnier</cp:lastModifiedBy>
  <cp:revision/>
  <dcterms:created xsi:type="dcterms:W3CDTF">2014-07-08T21:01:56Z</dcterms:created>
  <dcterms:modified xsi:type="dcterms:W3CDTF">2022-11-09T15:29:18Z</dcterms:modified>
  <cp:category/>
  <cp:contentStatus/>
</cp:coreProperties>
</file>