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8115" yWindow="165" windowWidth="17715" windowHeight="14145" activeTab="4"/>
  </bookViews>
  <sheets>
    <sheet name="1st time calculation" sheetId="15" r:id="rId1"/>
    <sheet name="CPI" sheetId="9" r:id="rId2"/>
    <sheet name="MBM" sheetId="10" r:id="rId3"/>
    <sheet name="Using LW 2015 Income" sheetId="1" r:id="rId4"/>
    <sheet name="Family Expenses" sheetId="14" r:id="rId5"/>
  </sheet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43" i="15"/>
  <c r="C43"/>
  <c r="C45"/>
  <c r="C46"/>
  <c r="C47"/>
  <c r="C49"/>
  <c r="B43" i="1"/>
  <c r="C43"/>
  <c r="C45"/>
  <c r="C46"/>
  <c r="C47"/>
  <c r="C49"/>
  <c r="G8" i="15"/>
  <c r="B26"/>
  <c r="C26"/>
  <c r="B44"/>
  <c r="B45"/>
  <c r="B46"/>
  <c r="B47"/>
  <c r="B12"/>
  <c r="C12"/>
  <c r="B49"/>
  <c r="G35"/>
  <c r="G36"/>
  <c r="G37"/>
  <c r="G48" i="1"/>
  <c r="G49"/>
  <c r="G50"/>
  <c r="E29" i="10"/>
  <c r="B43" i="14"/>
  <c r="B46"/>
  <c r="B6" i="15"/>
  <c r="B6" i="1"/>
  <c r="G29" i="15"/>
  <c r="G30"/>
  <c r="G31"/>
  <c r="G32"/>
  <c r="B12" i="1"/>
  <c r="C12"/>
  <c r="I45"/>
  <c r="B26"/>
  <c r="C26"/>
  <c r="B44"/>
  <c r="C42"/>
  <c r="C13"/>
  <c r="F25"/>
  <c r="F26"/>
  <c r="H26"/>
  <c r="G35"/>
  <c r="B10" i="14"/>
  <c r="B11"/>
  <c r="B12"/>
  <c r="B13"/>
  <c r="B21"/>
  <c r="B23"/>
  <c r="L9" i="9"/>
  <c r="C6" i="15"/>
  <c r="B33" i="14"/>
  <c r="B32"/>
  <c r="C42" i="15"/>
  <c r="C13"/>
  <c r="D41"/>
  <c r="I25"/>
  <c r="I24"/>
  <c r="C25"/>
  <c r="B27" i="14"/>
  <c r="B28"/>
  <c r="C14" i="15"/>
  <c r="B31" i="14"/>
  <c r="B34"/>
  <c r="B36"/>
  <c r="C11" i="15"/>
  <c r="B11"/>
  <c r="C10"/>
  <c r="B14" i="14"/>
  <c r="B9" i="15"/>
  <c r="C9"/>
  <c r="B6" i="14"/>
  <c r="B8" i="15"/>
  <c r="C8"/>
  <c r="B7"/>
  <c r="B10"/>
  <c r="B14"/>
  <c r="I38" i="1"/>
  <c r="I37"/>
  <c r="C10"/>
  <c r="B10"/>
  <c r="B9"/>
  <c r="C9"/>
  <c r="L8" i="9"/>
  <c r="B8" i="1"/>
  <c r="C8"/>
  <c r="C14"/>
  <c r="B14"/>
  <c r="C25"/>
  <c r="G42"/>
  <c r="G43"/>
  <c r="G44"/>
  <c r="D41"/>
  <c r="G45"/>
  <c r="C11"/>
  <c r="B11"/>
  <c r="C6"/>
  <c r="C27"/>
  <c r="B27"/>
  <c r="G38"/>
  <c r="I35"/>
  <c r="C23"/>
  <c r="B23"/>
  <c r="B31"/>
  <c r="C31"/>
  <c r="D58"/>
  <c r="B48" i="15"/>
  <c r="B45" i="1"/>
  <c r="B47"/>
  <c r="B46"/>
  <c r="B49"/>
  <c r="B13" i="15"/>
  <c r="D43"/>
  <c r="D55"/>
  <c r="D47"/>
  <c r="D45"/>
  <c r="D47" i="1"/>
  <c r="D46"/>
  <c r="D43"/>
  <c r="D55"/>
  <c r="B48"/>
  <c r="B13"/>
  <c r="D45"/>
  <c r="B50"/>
  <c r="I22" i="15"/>
  <c r="C23"/>
  <c r="B50"/>
  <c r="G22"/>
  <c r="C48"/>
  <c r="D49"/>
  <c r="D56"/>
  <c r="D46"/>
  <c r="D57"/>
  <c r="C48" i="1"/>
  <c r="D48"/>
  <c r="D49"/>
  <c r="B51"/>
  <c r="D50"/>
  <c r="C27" i="15"/>
  <c r="B27"/>
  <c r="G25"/>
  <c r="B23"/>
  <c r="B31"/>
  <c r="C31"/>
  <c r="D48"/>
  <c r="C51"/>
  <c r="C52"/>
  <c r="B51"/>
  <c r="D50"/>
  <c r="C51" i="1"/>
  <c r="C52"/>
  <c r="D56"/>
  <c r="D57"/>
  <c r="D59"/>
  <c r="B52"/>
  <c r="D52"/>
  <c r="D51"/>
  <c r="C35"/>
  <c r="B52" i="15"/>
  <c r="D52"/>
  <c r="D51"/>
  <c r="C35"/>
  <c r="D58"/>
  <c r="D59"/>
  <c r="B17" i="14"/>
  <c r="B18"/>
  <c r="C15" i="1"/>
  <c r="B15"/>
  <c r="C16"/>
  <c r="B16"/>
  <c r="C15" i="15"/>
  <c r="C16"/>
  <c r="B16"/>
  <c r="B15"/>
  <c r="B17"/>
  <c r="B7" i="1"/>
  <c r="B17"/>
  <c r="C17"/>
  <c r="D13"/>
  <c r="C17" i="15"/>
  <c r="D15"/>
  <c r="D16"/>
  <c r="D9"/>
  <c r="D8"/>
  <c r="D10"/>
  <c r="D7"/>
  <c r="D17"/>
  <c r="D11"/>
  <c r="D6"/>
  <c r="D12"/>
  <c r="D14"/>
  <c r="D13"/>
  <c r="D9" i="1"/>
  <c r="D16"/>
  <c r="D10"/>
  <c r="D8"/>
  <c r="D7"/>
  <c r="D14"/>
  <c r="D17"/>
  <c r="D11"/>
  <c r="D12"/>
  <c r="D6"/>
  <c r="D15"/>
  <c r="D60"/>
  <c r="D61"/>
  <c r="C36"/>
  <c r="C37"/>
  <c r="C36" i="15"/>
  <c r="C37"/>
  <c r="D60"/>
  <c r="D61"/>
</calcChain>
</file>

<file path=xl/sharedStrings.xml><?xml version="1.0" encoding="utf-8"?>
<sst xmlns="http://schemas.openxmlformats.org/spreadsheetml/2006/main" count="422" uniqueCount="186">
  <si>
    <t>Living Wage Calculation: Halifax  2016 (based on 2015 data)</t>
  </si>
  <si>
    <t>Table I: Family Expenses--Two Adults and Two Children (age 4 and 7)</t>
  </si>
  <si>
    <t>Child Tax</t>
  </si>
  <si>
    <t>Item</t>
  </si>
  <si>
    <t>Monthly</t>
  </si>
  <si>
    <t>Annually</t>
  </si>
  <si>
    <t>% of Total</t>
  </si>
  <si>
    <t>One Child Under 6</t>
  </si>
  <si>
    <t>Food</t>
  </si>
  <si>
    <t>One Child Over 6</t>
  </si>
  <si>
    <t>Clothing and Footwear</t>
  </si>
  <si>
    <t>Shelter</t>
  </si>
  <si>
    <t>Utilities</t>
  </si>
  <si>
    <t>Transportation</t>
  </si>
  <si>
    <t>Child Care</t>
  </si>
  <si>
    <t>Health Care</t>
  </si>
  <si>
    <t>Contingency/Emergency</t>
  </si>
  <si>
    <t>Parent Education</t>
  </si>
  <si>
    <t>Household Expenses</t>
  </si>
  <si>
    <t>Social Inclusion</t>
  </si>
  <si>
    <t>Total</t>
  </si>
  <si>
    <t>Table II:  Non-Wage Income (Government Transfers)</t>
  </si>
  <si>
    <t>CCB</t>
  </si>
  <si>
    <t>CCTB</t>
  </si>
  <si>
    <t>Income</t>
  </si>
  <si>
    <t>Formula</t>
  </si>
  <si>
    <t>Canada Child Tax Benefit (6 months)</t>
  </si>
  <si>
    <t>1st threshold</t>
  </si>
  <si>
    <t>BR at FNI</t>
  </si>
  <si>
    <t>2nd threshhold</t>
  </si>
  <si>
    <t>$0 at FNI</t>
  </si>
  <si>
    <t>NS Child Benefit</t>
  </si>
  <si>
    <t>No CBB at FNI</t>
  </si>
  <si>
    <t>No NCBS at FNI</t>
  </si>
  <si>
    <t>UCCB (6 months)</t>
  </si>
  <si>
    <t>CCB (6 months)</t>
  </si>
  <si>
    <t>GST credit</t>
  </si>
  <si>
    <t>Federal Tuition Credits</t>
  </si>
  <si>
    <t>NS Affordable Living Credit</t>
  </si>
  <si>
    <t>Tuition</t>
  </si>
  <si>
    <t>$120/mth</t>
  </si>
  <si>
    <t>$20/mth text</t>
  </si>
  <si>
    <t>Table III:  Family Income Less Family Expenses</t>
  </si>
  <si>
    <t>Provincial Tuition Credits</t>
  </si>
  <si>
    <t>Available Annual Income</t>
  </si>
  <si>
    <t>Annual Family Expenses</t>
  </si>
  <si>
    <t>$60/month</t>
  </si>
  <si>
    <t>Gap</t>
  </si>
  <si>
    <t>Table IV:  The Living Wage and Government Deductions and Taxes</t>
  </si>
  <si>
    <t>Column1</t>
  </si>
  <si>
    <t>Parent 1</t>
  </si>
  <si>
    <t>Parent 2</t>
  </si>
  <si>
    <t>Hours / Week</t>
  </si>
  <si>
    <t>Wage</t>
  </si>
  <si>
    <t>Employment Income</t>
  </si>
  <si>
    <t xml:space="preserve">Adjustments </t>
  </si>
  <si>
    <t>Net Income</t>
  </si>
  <si>
    <t>EI Premiums</t>
  </si>
  <si>
    <t>CPP Premiums</t>
  </si>
  <si>
    <t>Fed. Income Tax</t>
  </si>
  <si>
    <t>Prov. Income Tax</t>
  </si>
  <si>
    <t>Fed. Refundable Credits</t>
  </si>
  <si>
    <t>After Tax Income</t>
  </si>
  <si>
    <t>Monthly After Tax Inc.</t>
  </si>
  <si>
    <t>Table V:  Family Income less Gov't Deductions and Taxes plus Gov't Transfers</t>
  </si>
  <si>
    <t>Total Annual Income from Employment</t>
  </si>
  <si>
    <t xml:space="preserve">  - EI, CPP, Fed. and Prov. Taxes</t>
  </si>
  <si>
    <t>Equals Family Take Home Pay</t>
  </si>
  <si>
    <t>CCTB,NSCB, UCCB, CCB, GST, NSALTC</t>
  </si>
  <si>
    <t>Equals Total Disposable Family Income</t>
  </si>
  <si>
    <t xml:space="preserve">  - Family Expenses</t>
  </si>
  <si>
    <t>Equals Income less expenses</t>
  </si>
  <si>
    <t>Table 326-0021 Consumer Price Index (CPI), annual (2002=100)(1,2,3,4,5,6,7,9)</t>
  </si>
  <si>
    <t>Survey or program details:</t>
  </si>
  <si>
    <t>Consumer Price Index - 2301</t>
  </si>
  <si>
    <t>Geography (10)</t>
  </si>
  <si>
    <t>Products and product groups (15)</t>
  </si>
  <si>
    <t>MBM</t>
  </si>
  <si>
    <t>Nova Scotia</t>
  </si>
  <si>
    <t>All-items (16)</t>
  </si>
  <si>
    <t>Geography (4)</t>
  </si>
  <si>
    <t>Component</t>
  </si>
  <si>
    <t>Food (17)</t>
  </si>
  <si>
    <t>Halifax, Nova Scotia</t>
  </si>
  <si>
    <t>Total threshold</t>
  </si>
  <si>
    <t>Shelter (18)</t>
  </si>
  <si>
    <t>Household operations, furnishings and equipment</t>
  </si>
  <si>
    <t>Clothing</t>
  </si>
  <si>
    <t>Clothing and footwear</t>
  </si>
  <si>
    <t>Population Under 30,000, Nova Scotia</t>
  </si>
  <si>
    <t>Gasoline</t>
  </si>
  <si>
    <t>Health and personal care</t>
  </si>
  <si>
    <t>Recreation, education and reading</t>
  </si>
  <si>
    <t>Alcoholic beverages and tobacco products</t>
  </si>
  <si>
    <t>All-items excluding food and energy (25)</t>
  </si>
  <si>
    <t>All-items excluding energy (25)</t>
  </si>
  <si>
    <t>Energy (25)</t>
  </si>
  <si>
    <t>Goods (27)</t>
  </si>
  <si>
    <t>Services (28)</t>
  </si>
  <si>
    <t>operation of motor vehicle</t>
  </si>
  <si>
    <t>Halifax, Nova Scotia [12205]  (11)</t>
  </si>
  <si>
    <t>Footnotes:</t>
  </si>
  <si>
    <t>The Consumer Price Index (CPI) is an indicator of the changes in consumer prices experienced by the target population. The CPI measures price change by comparing, over time, the cost of a fixed basket of goods and services. This basket is based on the expenditures of the target population in a certain reference period, currently 2011. Since the basket contains goods and services of unchanging or equivalent quantity and quality, the index reflects only pure price movements. Separate CPIs are published for Canada, the ten provinces, Whitehorse, Yellowknife and Iqaluit. Some CPI information is also available for sixteen additional urban centres. Since the CPI is a measure of price change from one time period to another, it cannot be used to indicate differences in price levels between provinces or urban centres.</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</si>
  <si>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</si>
  <si>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The Consumer Price Index (CPI) compares, in percentage terms, prices in any given time period to prices in the official base period which, at present, is 2002=100. The official time base was changed from 1992=100 to 2002=100 starting with the May 2007 data released in June 2007. The change is strictly an arithmetic conversion, which alters the index levels but leaves the percentage changes between any two periods intact, except for differences in rounding.</t>
  </si>
  <si>
    <t>The Consumer Price Index (CPI) maintains fixed quantitative proportions (weights) between goods and services during the life of a given basket. The baskets are updated periodically to take into account changes in consumer expenditure patterns. The basket reflecting the 2011 expenditure patterns replaced the 2009 basket starting with the February 2013 data released in March 2013. The continuity of the CPI series is maintained by "linking" the corresponding indexes obtained from consecutive baskets. The CPI is calculated as a weighted average of specified goods and services price indexes. The weights are derived from Survey of Household Spending data. When reconstructing or re-aggregating published CPI series, the changes in weights and the linking procedures must be taken into account. The process of linking is to apply the price movements calculated from the new basket to the series published previously. For a description of the methodology required to reconstruct or re-aggregate CPI series, see publication 62-553 The Consumer Price Index Reference Paper.</t>
  </si>
  <si>
    <t>For concepts and definitions, see publication 62-557 Your Guide to the Consumer Price Index, or publication 62-553 The Consumer Price Index Reference Paper. Additional information can also be obtained from: CPD Dissemination Unit, Consumer Prices Division, telephone: (613) 951-9606, toll-free: 1-866-230-2248, fax: (613) 951-2848, e-mail: cpd-info-dpc@statcan.gc.ca.</t>
  </si>
  <si>
    <t>Statistics Canada determined that the weights for mortgage interest cost were too high in the basket update effective January 2003. The effect on the Canada All-items Consumer Price Index (CPI) was very small, within the rounding factor of the index. Effective with the July 2004 release, the 2001 basket weights were adjusted. CPI basket weights are available in CANSIM table 326-0031.</t>
  </si>
  <si>
    <t>The Bank of Canada's Core Index (1992=100) was previously available in CANSIM table 176-0003 as the Consumer Price Index (CPI) excluding eight of the most volatile components and indirect taxes (CPIX) (1992=100).</t>
  </si>
  <si>
    <t>This table replaces CANSIM table 326-0002 which terminated with the release of April 2007 data.</t>
  </si>
  <si>
    <t>The population targeted by the Consumer Price Index (CPI) consists of families and individuals living in urban and rural private households. For practical reasons, residents of the Territories outside Whitehorse, Yellowknife and Iqaluit are not represented by the index. Previous to January 1995, the target population consisted of private households in Canadian urban centres with a population of 30,000 or more.</t>
  </si>
  <si>
    <t>With the introduction of the 1992 basket in January 1995, emphasis was shifted from urban centre data to provincial data. Urban centre all-items series were continued since many users had come to rely on this service, but the method of calculation was changed. Shelter indexes are calculated for each urban centre. This recognizes the importance of shelter in the basket, the significant and persistent differences in price movements between urban centres, and the availability of local data. For the other seven major components, the movement of the provincial counterpart is used except in the cases of Montréal, Toronto, and Vancouver, where a sub-provincial counterpart is used. The major components are aggregated using the urban centre's expenditure pattern to arrive at each urban centre's all-items index.</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</si>
  <si>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and tobacco products".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CPI excluding food and energy", "energy", "goods", "services", or "fresh fruit and fresh vegetables". They are listed after the components of the main structure of the CPI following the last major component entitled "alcoholic beverages and tobacco products".</t>
  </si>
  <si>
    <t>The eight major components of the Consumer Price Index (CPI) basket are: "food", "shelter", "household operations, furnishings and equipment", "clothing and footwear", "transportation", "health and personal care", "recreation, education and reading", and "alcoholic beverages and tobacco products".</t>
  </si>
  <si>
    <t>Food includes non-alcoholic beverages.</t>
  </si>
  <si>
    <t>Part of the increase first recorded in the shelter index for Yellowknife for December 2004 inadvertently reflected rent increases that actually occurred earlier. As a result, the change in the shelter index was overstated in December 2004, and was understated in the previous two years. The shelter index series for Yellowknife has been corrected from December 2002. In addition, the Yellowknife all-items consumer price index (CPI) and some Yellowknife special aggregate index series have also changed. Data for Canada and all other provinces and territories were not affected.</t>
  </si>
  <si>
    <t>The special aggregate "energy" includes: "electricity", "natural gas", "fuel oil and other fuels", "gasoline", and "fuel, parts and supplies for recreational vehicles".</t>
  </si>
  <si>
    <t>Goods are physical or tangible commodities usually classified according to their life span into non-durable goods, semi-durable goods and durable goods. Non-durable goods are those goods that can be used up entirely in less than a year, assuming normal usage. For example, fresh food products, disposable cameras and gasoline are non-durable goods. Semi-durable goods are those goods that may last less than 12 months or greater than 12 months depending on the purpose to which they are put. For example, clothing, footwear and household textiles are semi-durable goods. Durable goods are those goods which may be used repeatedly or continuously over more than a year, assuming normal usage. For example, cars, audio and video equipment and furniture are durable goods.</t>
  </si>
  <si>
    <t>A service in the Consumer Price Index (CPI) is characterized by valuable work performed by an individual or organization on behalf of a consumer, for example, car tune-ups, haircuts and city public transportation. Transactions classified as a service may include the cost of goods by their nature. Examples include food in restaurant food services and materials in clothing repair services.</t>
  </si>
  <si>
    <t>Source:</t>
  </si>
  <si>
    <t>Statistics Canada. Table 326-0021 - Consumer Price Index (CPI), annual (2002=100 unless otherwise noted)</t>
  </si>
  <si>
    <t>(accessed: October 5, 2016)</t>
  </si>
  <si>
    <t>Table 326-0021 Consumer Price Index, annual (2002=100)(2,9)</t>
  </si>
  <si>
    <t>Geography</t>
  </si>
  <si>
    <t>All-items</t>
  </si>
  <si>
    <t>Private transportation</t>
  </si>
  <si>
    <t>Purchase, leasing and rental of passenger vehicles</t>
  </si>
  <si>
    <t>Operation of passenger vehicles</t>
  </si>
  <si>
    <t>Public transportation</t>
  </si>
  <si>
    <t>Local and commuter transportation</t>
  </si>
  <si>
    <t>Inter-city transportation</t>
  </si>
  <si>
    <t>With the introduction of the 1992 basket in January 1995, emphasis was shifted from city data to provincial data. City all-items series were continued since many users had come to rely on this service, but the method of calculation was changed. Shelter indexes are calculated for each city. This recognizes the importance of shelter in the basket, the significant and persistent differences in price movements between cities, and the availability of local data. For the other seven major components, the movement of the provincial counterpart is used except in the cases of Montréal, Toronto, and Vancouver, where a sub-provincial counterpart is used. The major components are aggregated using the city's expenditure pattern to arrive at each city's all-items index.</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</si>
  <si>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and tobacco products".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CPI excluding food and energy", "energy", "goods", "services", or "fresh fruit and vegetables". They are listed after the components of the main structure of the CPI following the last major component entitled "alcoholic beverages and tobacco products".</t>
  </si>
  <si>
    <t>Statistics Canada. Table 326-0021 - Consumer Price Index, annual (2002=100 unless otherwise noted)</t>
  </si>
  <si>
    <t>(accessed: October 15, 2016)</t>
  </si>
  <si>
    <t>Table 206-0093 Market Basket Measure (MBM) thresholds (2011 base) for reference family, by Market Basket Measure region and component, in current dollars and 2014 constant dollars, annual(1,2)</t>
  </si>
  <si>
    <t>Survey of Labour and Income Dynamics - 3889</t>
  </si>
  <si>
    <t>Canadian Income Survey - 5200</t>
  </si>
  <si>
    <t>Geography (3)</t>
  </si>
  <si>
    <t>Dollar concept</t>
  </si>
  <si>
    <t>Nova Scotia, rural</t>
  </si>
  <si>
    <t>2014 constant dollars</t>
  </si>
  <si>
    <t>Other expenses</t>
  </si>
  <si>
    <t>Nova Scotia, population under 30,000</t>
  </si>
  <si>
    <t>Nova Scotia, population 30,000 to 99,999</t>
  </si>
  <si>
    <t>Cape Breton, Nova Scotia</t>
  </si>
  <si>
    <t>Source: Income Statistics Division, Statistics Canada</t>
  </si>
  <si>
    <t>The Market Basket Measure (MBM), developed by Employment and Social Development Canada, attempts to measure a standard of living that is a compromise between subsistence and social inclusion. It also reflects differences in living costs across regions. The MBM represents the cost of a basket that includes: a nutritious diet, clothing and footwear, shelter, transportation, and other necessary goods and services (such as personal care items or household supplies). The cost of the basket is compared to disposable income for each family to determine low income rates.</t>
  </si>
  <si>
    <t>Rural areas: includes communities with a population of less than 1,000 or with a population density less than 400 persons per square kilometer that are located outside Census metropolitan areas (CMAs) or Census agglomerations (CAs). Population under 30,000 : CAs below 30,000 and population centres below 10,000 persons. Population 30,000 to 99,999 : CAs between 30,000 and 99,999 persons. Population 100,000 to 499,999: CMAs between 100,000 and 499,999. Population 500,000 and over: CMAs with 500,000 or more persons. Specific city name refers to the population within the CMA or CA.</t>
  </si>
  <si>
    <t>Statistics Canada. Table 206-0093 - Market Basket Measure (MBM) thresholds (2011 base) for reference family, by Market Basket Measure region and component, in current dollars and 2014 constant dollars, annual</t>
  </si>
  <si>
    <t>(accessed: October 25, 2016)</t>
  </si>
  <si>
    <t>Table IIa:  Last Year's Family Income (For Government Transfers)</t>
    <phoneticPr fontId="1" type="noConversion"/>
  </si>
  <si>
    <t>2015 LW Income</t>
  </si>
  <si>
    <t xml:space="preserve">UCCB </t>
  </si>
  <si>
    <t>Child Care Expenses</t>
  </si>
  <si>
    <t xml:space="preserve">  + CCTB, NSCB, UCCB, CCB, GST, NSALTC</t>
  </si>
  <si>
    <t>Family Expenses</t>
  </si>
  <si>
    <t>Rent</t>
  </si>
  <si>
    <t>Content Insurance</t>
  </si>
  <si>
    <t>Total Monthly</t>
  </si>
  <si>
    <t>NS Power</t>
  </si>
  <si>
    <t>Base Customer Charge</t>
  </si>
  <si>
    <t>Rate/KWh (1100)</t>
  </si>
  <si>
    <t>HST</t>
  </si>
  <si>
    <t>Energy Rebate</t>
  </si>
  <si>
    <t>Market Basket Measure 'Other' Annual</t>
  </si>
  <si>
    <t xml:space="preserve"> Transportation</t>
  </si>
  <si>
    <t>12monthly bus passes</t>
  </si>
  <si>
    <t xml:space="preserve">Private Vehicle </t>
  </si>
  <si>
    <t>Total Annual</t>
  </si>
  <si>
    <t>Cost per unit</t>
  </si>
  <si>
    <t>Average Student Fees</t>
  </si>
  <si>
    <t>Preschool Full Time (4y/o)</t>
  </si>
  <si>
    <t>Before/After School(7y/o)</t>
  </si>
  <si>
    <t>Summer &amp; March Break (7y/o)</t>
  </si>
  <si>
    <t>9 PD, Dec Break, Nonstat Holidays</t>
  </si>
  <si>
    <t>Child Care Subsidy*</t>
  </si>
  <si>
    <t>*formula unavailable; family may qualify for $1.71/day of care</t>
  </si>
  <si>
    <t>Woman age 31-50</t>
  </si>
  <si>
    <t>Man age 31-50</t>
  </si>
  <si>
    <t>Boy age 7</t>
  </si>
  <si>
    <t>Girl age 4</t>
  </si>
  <si>
    <t>NS Average</t>
  </si>
  <si>
    <t>Urban Average NS</t>
  </si>
  <si>
    <t>Adjusted food expenses</t>
  </si>
  <si>
    <t>Food Costs (2015)</t>
  </si>
</sst>
</file>

<file path=xl/styles.xml><?xml version="1.0" encoding="utf-8"?>
<styleSheet xmlns="http://schemas.openxmlformats.org/spreadsheetml/2006/main">
  <numFmts count="6">
    <numFmt numFmtId="6" formatCode="&quot;$&quot;#,##0;[Red]\-&quot;$&quot;#,##0"/>
    <numFmt numFmtId="44" formatCode="_-&quot;$&quot;* #,##0.00_-;\-&quot;$&quot;* #,##0.00_-;_-&quot;$&quot;* &quot;-&quot;??_-;_-@_-"/>
    <numFmt numFmtId="164" formatCode="&quot;$&quot;#,##0.00_);[Red]\(&quot;$&quot;#,##0.00\)"/>
    <numFmt numFmtId="165" formatCode="&quot;$&quot;#,##0.00"/>
    <numFmt numFmtId="166" formatCode="0.0%"/>
    <numFmt numFmtId="167" formatCode="0.000"/>
  </numFmts>
  <fonts count="22">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name val="Verdana"/>
      <family val="2"/>
    </font>
    <font>
      <b/>
      <sz val="11"/>
      <color indexed="8"/>
      <name val="Calibri"/>
      <family val="2"/>
    </font>
    <font>
      <b/>
      <sz val="11"/>
      <name val="Arial"/>
      <family val="2"/>
    </font>
    <font>
      <sz val="8"/>
      <name val="Calibri"/>
      <family val="2"/>
    </font>
    <font>
      <sz val="11"/>
      <name val="Calibri"/>
      <family val="2"/>
    </font>
    <font>
      <sz val="11"/>
      <color rgb="FF006100"/>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name val="Calibri"/>
      <family val="2"/>
      <scheme val="minor"/>
    </font>
    <font>
      <b/>
      <sz val="11"/>
      <name val="Calibri"/>
      <family val="2"/>
    </font>
    <font>
      <b/>
      <sz val="13"/>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6"/>
      <color indexed="54"/>
      <name val="Calibri"/>
      <family val="2"/>
    </font>
    <font>
      <sz val="10"/>
      <color theme="0"/>
      <name val="Arial"/>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29">
    <xf numFmtId="0" fontId="0" fillId="0" borderId="0"/>
    <xf numFmtId="44" fontId="1" fillId="0" borderId="0" applyFont="0" applyFill="0" applyBorder="0" applyAlignment="0" applyProtection="0"/>
    <xf numFmtId="0" fontId="10" fillId="2" borderId="0" applyNumberFormat="0" applyBorder="0" applyAlignment="0" applyProtection="0"/>
    <xf numFmtId="0" fontId="11" fillId="0" borderId="6" applyNumberFormat="0" applyFill="0" applyAlignment="0" applyProtection="0"/>
    <xf numFmtId="0" fontId="12" fillId="0" borderId="7" applyNumberFormat="0" applyFill="0" applyAlignment="0" applyProtection="0"/>
    <xf numFmtId="9" fontId="1" fillId="0" borderId="0" applyFont="0" applyFill="0" applyBorder="0" applyAlignment="0" applyProtection="0"/>
    <xf numFmtId="0" fontId="13"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66">
    <xf numFmtId="0" fontId="0" fillId="0" borderId="0" xfId="0"/>
    <xf numFmtId="0" fontId="2" fillId="0" borderId="0" xfId="0" applyFont="1" applyFill="1"/>
    <xf numFmtId="2" fontId="2" fillId="0" borderId="0" xfId="0" applyNumberFormat="1" applyFont="1" applyFill="1"/>
    <xf numFmtId="0" fontId="3" fillId="0" borderId="0" xfId="0" applyFont="1" applyFill="1" applyAlignment="1">
      <alignment horizontal="left"/>
    </xf>
    <xf numFmtId="2" fontId="3" fillId="0" borderId="0" xfId="0" applyNumberFormat="1" applyFont="1" applyFill="1"/>
    <xf numFmtId="0" fontId="3" fillId="0" borderId="0" xfId="0" applyFont="1" applyFill="1"/>
    <xf numFmtId="0" fontId="2"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1" xfId="0" applyFont="1" applyFill="1" applyBorder="1"/>
    <xf numFmtId="0" fontId="3" fillId="0" borderId="0" xfId="0" applyFont="1" applyFill="1" applyBorder="1" applyAlignment="1">
      <alignment horizontal="right"/>
    </xf>
    <xf numFmtId="0" fontId="0" fillId="0" borderId="0" xfId="0" applyFill="1"/>
    <xf numFmtId="0" fontId="2" fillId="0" borderId="1" xfId="0" applyFont="1" applyFill="1" applyBorder="1"/>
    <xf numFmtId="2" fontId="2" fillId="0" borderId="1" xfId="0" applyNumberFormat="1" applyFont="1" applyFill="1" applyBorder="1"/>
    <xf numFmtId="0" fontId="2" fillId="0" borderId="0" xfId="0" applyFont="1" applyFill="1" applyBorder="1" applyAlignment="1">
      <alignment horizontal="right"/>
    </xf>
    <xf numFmtId="0" fontId="2" fillId="0" borderId="1" xfId="0" applyFont="1" applyFill="1" applyBorder="1" applyAlignment="1">
      <alignment horizontal="right"/>
    </xf>
    <xf numFmtId="165" fontId="2" fillId="0" borderId="1" xfId="0" applyNumberFormat="1" applyFont="1" applyFill="1" applyBorder="1" applyAlignment="1">
      <alignment horizontal="right" vertical="center"/>
    </xf>
    <xf numFmtId="0" fontId="2" fillId="0" borderId="0" xfId="0" applyFont="1" applyFill="1" applyAlignment="1">
      <alignment horizontal="left"/>
    </xf>
    <xf numFmtId="0" fontId="2" fillId="0" borderId="1" xfId="0" applyFont="1" applyFill="1" applyBorder="1" applyAlignment="1">
      <alignment horizontal="right" vertical="center"/>
    </xf>
    <xf numFmtId="167" fontId="2" fillId="0" borderId="0" xfId="0" applyNumberFormat="1" applyFont="1" applyFill="1" applyBorder="1" applyAlignment="1">
      <alignment horizontal="right"/>
    </xf>
    <xf numFmtId="0" fontId="2" fillId="0" borderId="0" xfId="0" applyFont="1" applyFill="1" applyBorder="1" applyAlignment="1">
      <alignment horizontal="center" wrapText="1"/>
    </xf>
    <xf numFmtId="165" fontId="2" fillId="0" borderId="1" xfId="0" applyNumberFormat="1" applyFont="1" applyFill="1" applyBorder="1"/>
    <xf numFmtId="0" fontId="2" fillId="0" borderId="0" xfId="0" applyFont="1" applyFill="1" applyBorder="1" applyAlignment="1">
      <alignment horizontal="center" vertical="center" wrapText="1"/>
    </xf>
    <xf numFmtId="167" fontId="2" fillId="0" borderId="0" xfId="0" applyNumberFormat="1" applyFont="1" applyFill="1" applyBorder="1" applyAlignment="1">
      <alignment horizontal="left"/>
    </xf>
    <xf numFmtId="0" fontId="2" fillId="0" borderId="0" xfId="0" applyFont="1" applyFill="1" applyAlignment="1">
      <alignment horizontal="center"/>
    </xf>
    <xf numFmtId="2" fontId="2" fillId="0" borderId="0" xfId="0" applyNumberFormat="1" applyFont="1" applyFill="1" applyBorder="1"/>
    <xf numFmtId="2" fontId="3" fillId="0" borderId="0" xfId="0" applyNumberFormat="1" applyFont="1" applyFill="1" applyBorder="1" applyAlignment="1">
      <alignment horizontal="center"/>
    </xf>
    <xf numFmtId="0" fontId="3" fillId="0" borderId="1" xfId="0" applyFont="1" applyFill="1" applyBorder="1" applyAlignment="1">
      <alignment horizontal="left"/>
    </xf>
    <xf numFmtId="0" fontId="3" fillId="0" borderId="0" xfId="0" applyFont="1" applyFill="1" applyBorder="1" applyAlignment="1">
      <alignment horizontal="left"/>
    </xf>
    <xf numFmtId="0" fontId="2" fillId="0" borderId="0" xfId="0" applyFont="1" applyFill="1" applyAlignment="1">
      <alignment horizontal="right"/>
    </xf>
    <xf numFmtId="2" fontId="3" fillId="0" borderId="0" xfId="0" applyNumberFormat="1" applyFont="1" applyFill="1" applyBorder="1"/>
    <xf numFmtId="2" fontId="3" fillId="0" borderId="0" xfId="0" applyNumberFormat="1" applyFont="1" applyFill="1" applyAlignment="1">
      <alignment horizontal="center"/>
    </xf>
    <xf numFmtId="0" fontId="3" fillId="0" borderId="0" xfId="0" applyFont="1" applyFill="1" applyBorder="1"/>
    <xf numFmtId="0" fontId="2" fillId="0" borderId="0" xfId="0" applyFont="1" applyFill="1" applyBorder="1" applyAlignment="1">
      <alignment horizontal="center"/>
    </xf>
    <xf numFmtId="1" fontId="2" fillId="0" borderId="1" xfId="0" applyNumberFormat="1" applyFont="1" applyFill="1" applyBorder="1"/>
    <xf numFmtId="2" fontId="5" fillId="0" borderId="1" xfId="0" applyNumberFormat="1" applyFont="1" applyBorder="1"/>
    <xf numFmtId="165" fontId="5" fillId="0" borderId="1" xfId="0" applyNumberFormat="1" applyFont="1" applyBorder="1"/>
    <xf numFmtId="0" fontId="2" fillId="0" borderId="1" xfId="2" applyFont="1" applyFill="1" applyBorder="1" applyAlignment="1">
      <alignment horizontal="left"/>
    </xf>
    <xf numFmtId="165" fontId="2" fillId="0" borderId="1" xfId="2" applyNumberFormat="1" applyFont="1" applyFill="1" applyBorder="1"/>
    <xf numFmtId="0" fontId="2" fillId="0" borderId="4" xfId="0" applyFont="1" applyFill="1" applyBorder="1" applyAlignment="1">
      <alignment horizontal="left"/>
    </xf>
    <xf numFmtId="2" fontId="12" fillId="0" borderId="0" xfId="4" applyNumberFormat="1" applyFill="1" applyBorder="1" applyAlignment="1">
      <alignment horizontal="left"/>
    </xf>
    <xf numFmtId="0" fontId="3" fillId="0" borderId="1" xfId="0" applyFont="1" applyFill="1" applyBorder="1" applyAlignment="1">
      <alignment horizontal="center"/>
    </xf>
    <xf numFmtId="0" fontId="3" fillId="0" borderId="3" xfId="0" applyFont="1" applyFill="1" applyBorder="1" applyAlignment="1">
      <alignment horizontal="center"/>
    </xf>
    <xf numFmtId="165"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165" fontId="3" fillId="0" borderId="1" xfId="0" applyNumberFormat="1" applyFont="1" applyFill="1" applyBorder="1"/>
    <xf numFmtId="165" fontId="3" fillId="0" borderId="1" xfId="2" applyNumberFormat="1" applyFont="1" applyFill="1" applyBorder="1"/>
    <xf numFmtId="165" fontId="3" fillId="0" borderId="1" xfId="0" applyNumberFormat="1" applyFont="1" applyFill="1" applyBorder="1" applyAlignment="1">
      <alignment horizontal="right"/>
    </xf>
    <xf numFmtId="0" fontId="3" fillId="0" borderId="3" xfId="0" applyFont="1" applyFill="1" applyBorder="1" applyAlignment="1">
      <alignment horizontal="right"/>
    </xf>
    <xf numFmtId="0" fontId="3" fillId="0" borderId="4" xfId="0" applyFont="1" applyFill="1" applyBorder="1" applyAlignment="1">
      <alignment horizontal="right"/>
    </xf>
    <xf numFmtId="3" fontId="0" fillId="0" borderId="0" xfId="0" applyNumberFormat="1"/>
    <xf numFmtId="6" fontId="0" fillId="0" borderId="0" xfId="0" applyNumberFormat="1"/>
    <xf numFmtId="0" fontId="0" fillId="0" borderId="1" xfId="0" applyBorder="1"/>
    <xf numFmtId="165" fontId="0" fillId="0" borderId="0" xfId="0" applyNumberFormat="1"/>
    <xf numFmtId="165" fontId="9" fillId="0" borderId="1" xfId="0" applyNumberFormat="1" applyFont="1" applyBorder="1"/>
    <xf numFmtId="165" fontId="9" fillId="0" borderId="0" xfId="0" applyNumberFormat="1" applyFont="1"/>
    <xf numFmtId="166" fontId="2" fillId="0" borderId="0" xfId="2" applyNumberFormat="1" applyFont="1" applyFill="1" applyBorder="1" applyAlignment="1">
      <alignment horizontal="center"/>
    </xf>
    <xf numFmtId="44" fontId="0" fillId="0" borderId="1" xfId="1" applyFont="1" applyBorder="1"/>
    <xf numFmtId="44" fontId="0" fillId="0" borderId="0" xfId="1" applyFont="1"/>
    <xf numFmtId="9" fontId="0" fillId="0" borderId="0" xfId="5" applyFont="1"/>
    <xf numFmtId="0" fontId="17" fillId="0" borderId="1" xfId="0" applyFont="1" applyBorder="1"/>
    <xf numFmtId="165" fontId="0" fillId="0" borderId="1" xfId="0" applyNumberFormat="1" applyBorder="1"/>
    <xf numFmtId="44" fontId="17" fillId="0" borderId="1" xfId="1" applyFont="1" applyBorder="1"/>
    <xf numFmtId="0" fontId="4" fillId="0" borderId="0" xfId="0" applyFont="1" applyFill="1"/>
    <xf numFmtId="0" fontId="0" fillId="0" borderId="0" xfId="0"/>
    <xf numFmtId="0" fontId="17" fillId="0" borderId="0" xfId="0" applyFont="1"/>
    <xf numFmtId="0" fontId="3" fillId="0" borderId="4" xfId="0" applyFont="1" applyFill="1" applyBorder="1" applyAlignment="1">
      <alignment horizontal="center"/>
    </xf>
    <xf numFmtId="0" fontId="0" fillId="0" borderId="0" xfId="0" applyNumberFormat="1"/>
    <xf numFmtId="44" fontId="2" fillId="0" borderId="0" xfId="1" applyFont="1" applyFill="1"/>
    <xf numFmtId="0" fontId="0" fillId="0" borderId="0" xfId="0" applyAlignment="1">
      <alignment wrapText="1"/>
    </xf>
    <xf numFmtId="166" fontId="0" fillId="0" borderId="0" xfId="5" applyNumberFormat="1" applyFont="1"/>
    <xf numFmtId="0" fontId="2" fillId="0" borderId="1" xfId="0" applyFont="1" applyFill="1" applyBorder="1" applyAlignment="1">
      <alignment horizontal="left"/>
    </xf>
    <xf numFmtId="165" fontId="9" fillId="0" borderId="1" xfId="0" applyNumberFormat="1" applyFont="1" applyFill="1" applyBorder="1" applyAlignment="1">
      <alignment horizontal="left"/>
    </xf>
    <xf numFmtId="0" fontId="2" fillId="0" borderId="2" xfId="0" applyFont="1" applyFill="1" applyBorder="1" applyAlignment="1">
      <alignment horizontal="left"/>
    </xf>
    <xf numFmtId="165" fontId="14" fillId="0" borderId="2" xfId="0" applyNumberFormat="1" applyFont="1" applyFill="1" applyBorder="1" applyAlignment="1">
      <alignment horizontal="left"/>
    </xf>
    <xf numFmtId="165" fontId="15" fillId="0" borderId="1" xfId="0" applyNumberFormat="1" applyFont="1" applyFill="1" applyBorder="1" applyAlignment="1">
      <alignment horizontal="left"/>
    </xf>
    <xf numFmtId="0" fontId="14" fillId="0" borderId="0" xfId="0" applyFont="1" applyFill="1" applyAlignment="1">
      <alignment horizontal="left"/>
    </xf>
    <xf numFmtId="2" fontId="2" fillId="0" borderId="1" xfId="0" applyNumberFormat="1" applyFont="1" applyFill="1" applyBorder="1" applyAlignment="1">
      <alignment horizontal="left"/>
    </xf>
    <xf numFmtId="165" fontId="2" fillId="0" borderId="1" xfId="0" applyNumberFormat="1" applyFont="1" applyFill="1" applyBorder="1" applyAlignment="1">
      <alignment horizontal="left" vertical="center"/>
    </xf>
    <xf numFmtId="165" fontId="3" fillId="0" borderId="1" xfId="0" applyNumberFormat="1" applyFont="1" applyFill="1" applyBorder="1" applyAlignment="1">
      <alignment horizontal="left"/>
    </xf>
    <xf numFmtId="0" fontId="14" fillId="0" borderId="0" xfId="6" applyFont="1" applyFill="1" applyAlignment="1">
      <alignment horizontal="left"/>
    </xf>
    <xf numFmtId="0" fontId="14" fillId="0" borderId="1" xfId="0" applyFont="1" applyBorder="1" applyAlignment="1">
      <alignment horizontal="left"/>
    </xf>
    <xf numFmtId="165" fontId="2" fillId="0" borderId="1" xfId="0" applyNumberFormat="1" applyFont="1" applyFill="1" applyBorder="1" applyAlignment="1">
      <alignment horizontal="left"/>
    </xf>
    <xf numFmtId="165" fontId="2" fillId="0" borderId="1" xfId="2" applyNumberFormat="1" applyFont="1" applyFill="1" applyBorder="1" applyAlignment="1">
      <alignment horizontal="left"/>
    </xf>
    <xf numFmtId="165" fontId="3" fillId="0" borderId="1" xfId="0" applyNumberFormat="1" applyFont="1" applyFill="1" applyBorder="1" applyAlignment="1">
      <alignment horizontal="left" vertical="center"/>
    </xf>
    <xf numFmtId="0" fontId="0" fillId="0" borderId="0" xfId="0" applyAlignment="1">
      <alignment horizontal="left"/>
    </xf>
    <xf numFmtId="0" fontId="2" fillId="0" borderId="3" xfId="2" applyFont="1" applyFill="1" applyBorder="1" applyAlignment="1">
      <alignment horizontal="left"/>
    </xf>
    <xf numFmtId="165" fontId="6" fillId="0" borderId="1" xfId="0" applyNumberFormat="1" applyFont="1" applyBorder="1" applyAlignment="1">
      <alignment horizontal="left"/>
    </xf>
    <xf numFmtId="0" fontId="0" fillId="0" borderId="1" xfId="0" applyBorder="1" applyAlignment="1">
      <alignment horizontal="left"/>
    </xf>
    <xf numFmtId="165" fontId="2" fillId="0" borderId="1" xfId="1" applyNumberFormat="1" applyFont="1" applyFill="1" applyBorder="1" applyAlignment="1">
      <alignment horizontal="left"/>
    </xf>
    <xf numFmtId="0" fontId="4" fillId="0" borderId="0" xfId="0" applyFont="1"/>
    <xf numFmtId="0" fontId="0" fillId="0" borderId="0" xfId="0" applyAlignment="1">
      <alignment horizontal="center"/>
    </xf>
    <xf numFmtId="0" fontId="2" fillId="0" borderId="0" xfId="0" applyFont="1"/>
    <xf numFmtId="165" fontId="17" fillId="0" borderId="1" xfId="1" applyNumberFormat="1" applyFont="1" applyBorder="1"/>
    <xf numFmtId="165" fontId="3" fillId="0" borderId="1" xfId="1" applyNumberFormat="1" applyFont="1" applyFill="1" applyBorder="1"/>
    <xf numFmtId="165" fontId="3" fillId="0" borderId="1" xfId="1" applyNumberFormat="1" applyFont="1" applyFill="1" applyBorder="1" applyAlignment="1">
      <alignment horizontal="center"/>
    </xf>
    <xf numFmtId="165" fontId="0" fillId="0" borderId="1" xfId="1" applyNumberFormat="1" applyFont="1" applyBorder="1"/>
    <xf numFmtId="165" fontId="2" fillId="0" borderId="1" xfId="1" applyNumberFormat="1" applyFont="1" applyFill="1" applyBorder="1"/>
    <xf numFmtId="165" fontId="2" fillId="0" borderId="1" xfId="1" applyNumberFormat="1" applyFont="1" applyFill="1" applyBorder="1" applyAlignment="1">
      <alignment horizontal="right"/>
    </xf>
    <xf numFmtId="0" fontId="21" fillId="0" borderId="0" xfId="0" applyFont="1"/>
    <xf numFmtId="0" fontId="3" fillId="0" borderId="4" xfId="0" applyFont="1" applyFill="1" applyBorder="1"/>
    <xf numFmtId="0" fontId="2" fillId="0" borderId="4" xfId="2" applyFont="1" applyFill="1" applyBorder="1"/>
    <xf numFmtId="0" fontId="2" fillId="0" borderId="4" xfId="2" applyFont="1" applyFill="1" applyBorder="1" applyAlignment="1">
      <alignment horizontal="left"/>
    </xf>
    <xf numFmtId="166" fontId="2" fillId="0" borderId="3" xfId="2" applyNumberFormat="1" applyFont="1" applyFill="1" applyBorder="1" applyAlignment="1">
      <alignment horizontal="center"/>
    </xf>
    <xf numFmtId="10" fontId="2" fillId="0" borderId="3" xfId="2" applyNumberFormat="1" applyFont="1" applyFill="1" applyBorder="1" applyAlignment="1">
      <alignment horizontal="center"/>
    </xf>
    <xf numFmtId="0" fontId="3" fillId="0" borderId="8" xfId="0" applyFont="1" applyFill="1" applyBorder="1"/>
    <xf numFmtId="2" fontId="3" fillId="0" borderId="9" xfId="0" applyNumberFormat="1"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xf numFmtId="165" fontId="3" fillId="0" borderId="2" xfId="0" applyNumberFormat="1" applyFont="1" applyFill="1" applyBorder="1"/>
    <xf numFmtId="166" fontId="3" fillId="0" borderId="12" xfId="5" applyNumberFormat="1" applyFont="1" applyFill="1" applyBorder="1" applyAlignment="1">
      <alignment horizontal="center"/>
    </xf>
    <xf numFmtId="165" fontId="2" fillId="0" borderId="3" xfId="2" applyNumberFormat="1" applyFont="1" applyFill="1" applyBorder="1"/>
    <xf numFmtId="0" fontId="3" fillId="0" borderId="8" xfId="0" applyFont="1" applyFill="1" applyBorder="1" applyAlignment="1">
      <alignment horizontal="left"/>
    </xf>
    <xf numFmtId="165" fontId="3" fillId="0" borderId="12" xfId="0" applyNumberFormat="1" applyFont="1" applyFill="1" applyBorder="1"/>
    <xf numFmtId="0" fontId="2" fillId="0" borderId="4" xfId="0" applyFont="1" applyFill="1" applyBorder="1"/>
    <xf numFmtId="0" fontId="5" fillId="0" borderId="4" xfId="0" applyFont="1" applyBorder="1"/>
    <xf numFmtId="0" fontId="3" fillId="0" borderId="4" xfId="2" applyFont="1" applyFill="1" applyBorder="1"/>
    <xf numFmtId="0" fontId="2" fillId="0" borderId="3" xfId="0" applyFont="1" applyFill="1" applyBorder="1"/>
    <xf numFmtId="2" fontId="5" fillId="0" borderId="3" xfId="0" applyNumberFormat="1" applyFont="1" applyBorder="1"/>
    <xf numFmtId="165" fontId="3" fillId="0" borderId="3" xfId="2" applyNumberFormat="1" applyFont="1" applyFill="1" applyBorder="1"/>
    <xf numFmtId="165" fontId="2" fillId="0" borderId="3" xfId="0" applyNumberFormat="1" applyFont="1" applyFill="1" applyBorder="1"/>
    <xf numFmtId="0" fontId="3" fillId="0" borderId="8" xfId="0" applyFont="1" applyFill="1" applyBorder="1" applyAlignment="1">
      <alignment horizontal="center"/>
    </xf>
    <xf numFmtId="0" fontId="2" fillId="0" borderId="11" xfId="0" applyFont="1" applyFill="1" applyBorder="1"/>
    <xf numFmtId="165" fontId="2" fillId="0" borderId="2" xfId="0" applyNumberFormat="1" applyFont="1" applyFill="1" applyBorder="1"/>
    <xf numFmtId="165" fontId="2" fillId="0" borderId="12" xfId="0" applyNumberFormat="1" applyFont="1" applyFill="1" applyBorder="1"/>
    <xf numFmtId="166" fontId="2" fillId="0" borderId="0" xfId="2" applyNumberFormat="1" applyFont="1" applyFill="1" applyBorder="1" applyAlignment="1">
      <alignment horizontal="left"/>
    </xf>
    <xf numFmtId="2" fontId="3" fillId="0" borderId="0" xfId="0" applyNumberFormat="1" applyFont="1" applyFill="1" applyBorder="1" applyAlignment="1">
      <alignment horizontal="right"/>
    </xf>
    <xf numFmtId="165" fontId="0" fillId="0" borderId="0" xfId="1" applyNumberFormat="1" applyFont="1" applyAlignment="1">
      <alignment horizontal="left"/>
    </xf>
    <xf numFmtId="165" fontId="3" fillId="0" borderId="0" xfId="1" applyNumberFormat="1" applyFont="1" applyFill="1" applyBorder="1" applyAlignment="1">
      <alignment horizontal="left"/>
    </xf>
    <xf numFmtId="165" fontId="0" fillId="0" borderId="0" xfId="0" applyNumberFormat="1" applyAlignment="1">
      <alignment horizontal="left"/>
    </xf>
    <xf numFmtId="165" fontId="2" fillId="0" borderId="0" xfId="1" applyNumberFormat="1" applyFont="1" applyFill="1" applyAlignment="1">
      <alignment horizontal="left"/>
    </xf>
    <xf numFmtId="0" fontId="2" fillId="0" borderId="1" xfId="2" applyFont="1" applyFill="1" applyBorder="1"/>
    <xf numFmtId="165" fontId="0" fillId="3" borderId="0" xfId="1" applyNumberFormat="1" applyFont="1" applyFill="1" applyAlignment="1">
      <alignment horizontal="left"/>
    </xf>
    <xf numFmtId="0" fontId="3" fillId="0" borderId="3" xfId="2" applyFont="1" applyFill="1" applyBorder="1" applyAlignment="1">
      <alignment horizontal="left"/>
    </xf>
    <xf numFmtId="0" fontId="3" fillId="0" borderId="4" xfId="2" applyFont="1" applyFill="1" applyBorder="1" applyAlignment="1">
      <alignment horizontal="left"/>
    </xf>
    <xf numFmtId="2" fontId="0" fillId="0" borderId="0" xfId="0" applyNumberFormat="1"/>
    <xf numFmtId="164" fontId="2" fillId="0" borderId="0" xfId="0" applyNumberFormat="1" applyFont="1" applyFill="1" applyAlignment="1">
      <alignment horizontal="left"/>
    </xf>
    <xf numFmtId="165" fontId="0" fillId="0" borderId="1" xfId="1" applyNumberFormat="1" applyFont="1" applyBorder="1" applyAlignment="1">
      <alignment horizontal="left"/>
    </xf>
    <xf numFmtId="44" fontId="0" fillId="0" borderId="0" xfId="0" applyNumberFormat="1"/>
    <xf numFmtId="165" fontId="2" fillId="0" borderId="0" xfId="0" applyNumberFormat="1" applyFont="1" applyFill="1"/>
    <xf numFmtId="0" fontId="2" fillId="0" borderId="3" xfId="0" applyFont="1" applyFill="1" applyBorder="1" applyAlignment="1">
      <alignment horizontal="left"/>
    </xf>
    <xf numFmtId="0" fontId="12" fillId="0" borderId="0" xfId="4" applyFill="1" applyBorder="1" applyAlignment="1">
      <alignment horizontal="left"/>
    </xf>
    <xf numFmtId="0" fontId="3" fillId="0" borderId="3" xfId="0" applyFont="1" applyFill="1" applyBorder="1" applyAlignment="1">
      <alignment horizontal="left"/>
    </xf>
    <xf numFmtId="0" fontId="6" fillId="0" borderId="4" xfId="0" applyFont="1" applyBorder="1" applyAlignment="1">
      <alignment horizontal="left"/>
    </xf>
    <xf numFmtId="0" fontId="6" fillId="0" borderId="3" xfId="0" applyFont="1" applyBorder="1" applyAlignment="1">
      <alignment horizontal="left"/>
    </xf>
    <xf numFmtId="0" fontId="2" fillId="0" borderId="3" xfId="0" applyFont="1" applyFill="1" applyBorder="1" applyAlignment="1">
      <alignment horizontal="left"/>
    </xf>
    <xf numFmtId="0" fontId="0" fillId="0" borderId="5" xfId="0" applyBorder="1" applyAlignment="1"/>
    <xf numFmtId="0" fontId="0" fillId="0" borderId="4" xfId="0" applyBorder="1" applyAlignment="1"/>
    <xf numFmtId="0" fontId="20" fillId="0" borderId="0" xfId="3" applyFont="1" applyFill="1" applyBorder="1" applyAlignment="1">
      <alignment horizontal="center"/>
    </xf>
    <xf numFmtId="0" fontId="12" fillId="0" borderId="0" xfId="4" applyFill="1" applyBorder="1" applyAlignment="1">
      <alignment horizontal="left"/>
    </xf>
    <xf numFmtId="2" fontId="16" fillId="0" borderId="0" xfId="4" applyNumberFormat="1" applyFont="1" applyFill="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2" fillId="0" borderId="3" xfId="0" applyNumberFormat="1" applyFont="1" applyFill="1" applyBorder="1" applyAlignment="1">
      <alignment horizontal="left"/>
    </xf>
    <xf numFmtId="49" fontId="0" fillId="0" borderId="5" xfId="0" applyNumberFormat="1" applyBorder="1" applyAlignment="1"/>
    <xf numFmtId="49" fontId="0" fillId="0" borderId="4" xfId="0" applyNumberFormat="1" applyBorder="1" applyAlignment="1"/>
    <xf numFmtId="0" fontId="7" fillId="0" borderId="0" xfId="0" applyFont="1" applyFill="1" applyAlignment="1">
      <alignment horizontal="center"/>
    </xf>
    <xf numFmtId="0" fontId="3" fillId="0" borderId="3" xfId="0" applyFont="1" applyFill="1" applyBorder="1" applyAlignment="1">
      <alignment horizontal="left"/>
    </xf>
    <xf numFmtId="0" fontId="3" fillId="0" borderId="4" xfId="0" applyFont="1" applyFill="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2" fontId="3" fillId="0" borderId="3" xfId="0" applyNumberFormat="1" applyFont="1" applyFill="1" applyBorder="1" applyAlignment="1">
      <alignment horizontal="left"/>
    </xf>
    <xf numFmtId="2" fontId="3" fillId="0" borderId="4" xfId="0" applyNumberFormat="1" applyFont="1" applyFill="1" applyBorder="1" applyAlignment="1">
      <alignment horizontal="left"/>
    </xf>
  </cellXfs>
  <cellStyles count="29">
    <cellStyle name="Currency" xfId="1" builtinId="4"/>
    <cellStyle name="Followed Hyperlink" xfId="28" builtinId="9" hidden="1"/>
    <cellStyle name="Followed Hyperlink" xfId="26" builtinId="9" hidden="1"/>
    <cellStyle name="Followed Hyperlink" xfId="22" builtinId="9" hidden="1"/>
    <cellStyle name="Followed Hyperlink" xfId="24" builtinId="9" hidden="1"/>
    <cellStyle name="Followed Hyperlink" xfId="10" builtinId="9" hidden="1"/>
    <cellStyle name="Followed Hyperlink" xfId="12" builtinId="9" hidden="1"/>
    <cellStyle name="Followed Hyperlink" xfId="20" builtinId="9" hidden="1"/>
    <cellStyle name="Followed Hyperlink" xfId="14" builtinId="9" hidden="1"/>
    <cellStyle name="Followed Hyperlink" xfId="16" builtinId="9" hidden="1"/>
    <cellStyle name="Followed Hyperlink" xfId="18" builtinId="9" hidden="1"/>
    <cellStyle name="Followed Hyperlink" xfId="8" builtinId="9" hidden="1"/>
    <cellStyle name="Good" xfId="2" builtinId="26"/>
    <cellStyle name="Heading 1" xfId="3" builtinId="16"/>
    <cellStyle name="Heading 2" xfId="4" builtinId="17"/>
    <cellStyle name="Hyperlink" xfId="7" builtinId="8" hidden="1"/>
    <cellStyle name="Hyperlink" xfId="23" builtinId="8" hidden="1"/>
    <cellStyle name="Hyperlink" xfId="25"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9" builtinId="8" hidden="1"/>
    <cellStyle name="Hyperlink" xfId="11" builtinId="8" hidden="1"/>
    <cellStyle name="Hyperlink" xfId="27" builtinId="8" hidden="1"/>
    <cellStyle name="Normal" xfId="0" builtinId="0"/>
    <cellStyle name="Percent" xfId="5" builtinId="5"/>
    <cellStyle name="Warning Text" xfId="6" builtinId="11"/>
  </cellStyles>
  <dxfs count="46">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alignment horizontal="center" vertical="bottom" textRotation="0" wrapText="0" indent="0" relative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165" formatCode="&quot;$&quot;#,##0.0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indexed="65"/>
        </patternFill>
      </fill>
      <alignment horizontal="center" vertical="bottom" textRotation="0" wrapText="0" indent="0" relative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5"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6" name="Table37" displayName="Table37" ref="A5:D17" totalsRowShown="0" headerRowBorderDxfId="45" tableBorderDxfId="44">
  <autoFilter ref="A5:D17"/>
  <tableColumns count="4">
    <tableColumn id="1" name="Item" dataDxfId="43" dataCellStyle="Good"/>
    <tableColumn id="2" name="Monthly" dataDxfId="42" dataCellStyle="Good"/>
    <tableColumn id="3" name="Annually" dataDxfId="41" dataCellStyle="Good"/>
    <tableColumn id="4" name="% of Total" dataDxfId="40" dataCellStyle="Good"/>
  </tableColumns>
  <tableStyleInfo name="TableStyleLight1" showFirstColumn="0" showLastColumn="0" showRowStripes="1" showColumnStripes="0"/>
</table>
</file>

<file path=xl/tables/table2.xml><?xml version="1.0" encoding="utf-8"?>
<table xmlns="http://schemas.openxmlformats.org/spreadsheetml/2006/main" id="7" name="Table48" displayName="Table48" ref="A22:C31" totalsRowShown="0" headerRowBorderDxfId="39" tableBorderDxfId="38" totalsRowBorderDxfId="37">
  <autoFilter ref="A22:C31"/>
  <tableColumns count="3">
    <tableColumn id="1" name="Income" dataDxfId="36" dataCellStyle="Good"/>
    <tableColumn id="2" name="Monthly" dataDxfId="35" dataCellStyle="Good"/>
    <tableColumn id="3" name="Annually" dataDxfId="34" dataCellStyle="Good"/>
  </tableColumns>
  <tableStyleInfo name="TableStyleLight1" showFirstColumn="0" showLastColumn="0" showRowStripes="1" showColumnStripes="0"/>
</table>
</file>

<file path=xl/tables/table3.xml><?xml version="1.0" encoding="utf-8"?>
<table xmlns="http://schemas.openxmlformats.org/spreadsheetml/2006/main" id="8" name="Table59" displayName="Table59" ref="A40:D52" totalsRowShown="0" headerRowDxfId="33" headerRowBorderDxfId="32" tableBorderDxfId="31" totalsRowBorderDxfId="30">
  <autoFilter ref="A40:D52"/>
  <tableColumns count="4">
    <tableColumn id="1" name="Column1" dataDxfId="29"/>
    <tableColumn id="2" name="Parent 1" dataDxfId="28"/>
    <tableColumn id="3" name="Parent 2" dataDxfId="27"/>
    <tableColumn id="4" name="Total" dataDxfId="26">
      <calculatedColumnFormula>B41+C41</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2" name="Table2" displayName="Table2" ref="E21:H32" totalsRowShown="0" dataDxfId="25" tableBorderDxfId="24" dataCellStyle="Currency">
  <autoFilter ref="E21:H32"/>
  <tableColumns count="4">
    <tableColumn id="1" name="2015 LW Income" dataDxfId="23" dataCellStyle="Currency"/>
    <tableColumn id="2" name="Parent 1" dataDxfId="22" dataCellStyle="Currency"/>
    <tableColumn id="3" name="Parent 2" dataDxfId="21" dataCellStyle="Currency"/>
    <tableColumn id="4" name="Total" dataDxfId="20" dataCellStyle="Currency"/>
  </tableColumns>
  <tableStyleInfo name="TableStyleLight1" showFirstColumn="0" showLastColumn="0" showRowStripes="1" showColumnStripes="0"/>
</table>
</file>

<file path=xl/tables/table5.xml><?xml version="1.0" encoding="utf-8"?>
<table xmlns="http://schemas.openxmlformats.org/spreadsheetml/2006/main" id="3" name="Table3" displayName="Table3" ref="A5:D17" totalsRowShown="0" headerRowBorderDxfId="19" tableBorderDxfId="18">
  <autoFilter ref="A5:D17"/>
  <tableColumns count="4">
    <tableColumn id="1" name="Item" dataDxfId="17" dataCellStyle="Good"/>
    <tableColumn id="2" name="Monthly" dataDxfId="16" dataCellStyle="Good"/>
    <tableColumn id="3" name="Annually" dataDxfId="15" dataCellStyle="Good"/>
    <tableColumn id="4" name="% of Total" dataDxfId="14" dataCellStyle="Good"/>
  </tableColumns>
  <tableStyleInfo name="TableStyleLight1" showFirstColumn="0" showLastColumn="0" showRowStripes="1" showColumnStripes="0"/>
</table>
</file>

<file path=xl/tables/table6.xml><?xml version="1.0" encoding="utf-8"?>
<table xmlns="http://schemas.openxmlformats.org/spreadsheetml/2006/main" id="4" name="Table4" displayName="Table4" ref="A22:C31" totalsRowShown="0" headerRowBorderDxfId="13" tableBorderDxfId="12" totalsRowBorderDxfId="11">
  <autoFilter ref="A22:C31"/>
  <tableColumns count="3">
    <tableColumn id="1" name="Income" dataDxfId="10" dataCellStyle="Good"/>
    <tableColumn id="2" name="Monthly" dataDxfId="9" dataCellStyle="Good"/>
    <tableColumn id="3" name="Annually" dataDxfId="8" dataCellStyle="Good"/>
  </tableColumns>
  <tableStyleInfo name="TableStyleLight1" showFirstColumn="0" showLastColumn="0" showRowStripes="1" showColumnStripes="0"/>
</table>
</file>

<file path=xl/tables/table7.xml><?xml version="1.0" encoding="utf-8"?>
<table xmlns="http://schemas.openxmlformats.org/spreadsheetml/2006/main" id="5" name="Table5" displayName="Table5" ref="A40:D52" totalsRowShown="0" headerRowDxfId="7" headerRowBorderDxfId="6" tableBorderDxfId="5" totalsRowBorderDxfId="4">
  <autoFilter ref="A40:D52"/>
  <tableColumns count="4">
    <tableColumn id="1" name="Column1" dataDxfId="3"/>
    <tableColumn id="2" name="Parent 1" dataDxfId="2"/>
    <tableColumn id="3" name="Parent 2" dataDxfId="1"/>
    <tableColumn id="4" name="Total" dataDxfId="0">
      <calculatedColumnFormula>B41+C41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dimension ref="A1:P68"/>
  <sheetViews>
    <sheetView topLeftCell="A28" zoomScale="87" zoomScaleNormal="87" zoomScalePageLayoutView="87" workbookViewId="0">
      <selection activeCell="B43" sqref="B43"/>
    </sheetView>
  </sheetViews>
  <sheetFormatPr defaultColWidth="8.85546875" defaultRowHeight="15"/>
  <cols>
    <col min="1" max="1" width="23.85546875" style="64" customWidth="1"/>
    <col min="2" max="2" width="13.42578125" style="64" customWidth="1"/>
    <col min="3" max="3" width="11.85546875" style="64" customWidth="1"/>
    <col min="4" max="4" width="12" style="64" customWidth="1"/>
    <col min="5" max="5" width="28.42578125" style="64" customWidth="1"/>
    <col min="6" max="6" width="20.42578125" style="64" customWidth="1"/>
    <col min="7" max="7" width="15.140625" style="64" customWidth="1"/>
    <col min="8" max="8" width="13.42578125" style="64" customWidth="1"/>
    <col min="9" max="9" width="22.140625" style="64" bestFit="1" customWidth="1"/>
    <col min="10" max="10" width="11.85546875" style="64" customWidth="1"/>
    <col min="11" max="11" width="13.28515625" style="64" customWidth="1"/>
    <col min="12" max="12" width="19.140625" style="64" customWidth="1"/>
    <col min="13" max="13" width="11" style="64" customWidth="1"/>
    <col min="14" max="14" width="11.140625" style="64" customWidth="1"/>
    <col min="15" max="15" width="14.42578125" style="64" customWidth="1"/>
    <col min="16" max="16" width="10.42578125" style="64" customWidth="1"/>
    <col min="17" max="17" width="13.140625" style="64" customWidth="1"/>
    <col min="18" max="18" width="12" style="64" bestFit="1" customWidth="1"/>
    <col min="19" max="19" width="10.42578125" style="64" customWidth="1"/>
    <col min="20" max="16384" width="8.85546875" style="64"/>
  </cols>
  <sheetData>
    <row r="1" spans="1:16" ht="21">
      <c r="A1" s="149" t="s">
        <v>0</v>
      </c>
      <c r="B1" s="149"/>
      <c r="C1" s="149"/>
      <c r="D1" s="149"/>
      <c r="E1" s="149"/>
      <c r="F1" s="149"/>
      <c r="G1" s="149"/>
      <c r="H1" s="63"/>
      <c r="I1" s="63"/>
      <c r="J1" s="1"/>
      <c r="K1" s="1"/>
      <c r="L1" s="1"/>
      <c r="M1" s="1"/>
      <c r="N1" s="1"/>
      <c r="O1" s="1"/>
    </row>
    <row r="2" spans="1:16" ht="17.25">
      <c r="A2" s="150"/>
      <c r="B2" s="150"/>
      <c r="C2" s="1"/>
      <c r="D2" s="1"/>
      <c r="E2" s="1"/>
      <c r="H2" s="1"/>
      <c r="I2" s="1"/>
      <c r="J2" s="1"/>
      <c r="K2" s="1"/>
      <c r="L2" s="1"/>
      <c r="M2" s="1"/>
      <c r="N2" s="1"/>
      <c r="O2" s="1"/>
    </row>
    <row r="3" spans="1:16">
      <c r="B3" s="2"/>
      <c r="C3" s="5"/>
      <c r="D3" s="1"/>
      <c r="E3" s="6"/>
      <c r="H3" s="6"/>
      <c r="I3" s="7"/>
      <c r="J3" s="1"/>
      <c r="K3" s="8"/>
      <c r="L3" s="5"/>
      <c r="M3" s="5"/>
      <c r="N3" s="5"/>
      <c r="O3" s="5"/>
    </row>
    <row r="4" spans="1:16">
      <c r="A4" s="9" t="s">
        <v>1</v>
      </c>
      <c r="B4" s="13"/>
      <c r="C4" s="9"/>
      <c r="D4" s="12"/>
      <c r="E4" s="6"/>
      <c r="G4" s="60" t="s">
        <v>2</v>
      </c>
      <c r="H4" s="6"/>
      <c r="O4" s="5"/>
    </row>
    <row r="5" spans="1:16">
      <c r="A5" s="105" t="s">
        <v>3</v>
      </c>
      <c r="B5" s="106" t="s">
        <v>4</v>
      </c>
      <c r="C5" s="107" t="s">
        <v>5</v>
      </c>
      <c r="D5" s="108" t="s">
        <v>6</v>
      </c>
      <c r="E5" s="10"/>
      <c r="F5" s="64" t="s">
        <v>7</v>
      </c>
      <c r="G5" s="57">
        <v>8000</v>
      </c>
      <c r="H5" s="11"/>
    </row>
    <row r="6" spans="1:16">
      <c r="A6" s="101" t="s">
        <v>8</v>
      </c>
      <c r="B6" s="54">
        <f>'Family Expenses'!B46</f>
        <v>848.36604420870265</v>
      </c>
      <c r="C6" s="38">
        <f>B6*12</f>
        <v>10180.392530504432</v>
      </c>
      <c r="D6" s="103">
        <f>C6/C17</f>
        <v>0.15722858116037824</v>
      </c>
      <c r="E6" s="14"/>
      <c r="F6" s="64" t="s">
        <v>9</v>
      </c>
      <c r="G6" s="61">
        <v>5000</v>
      </c>
      <c r="H6" s="11"/>
      <c r="P6" s="53"/>
    </row>
    <row r="7" spans="1:16">
      <c r="A7" s="102" t="s">
        <v>10</v>
      </c>
      <c r="B7" s="38">
        <f>$C7/12</f>
        <v>179.73523421588595</v>
      </c>
      <c r="C7" s="68">
        <v>2156.8228105906314</v>
      </c>
      <c r="D7" s="103">
        <f>C7/C17</f>
        <v>3.3310522095035697E-2</v>
      </c>
      <c r="E7" s="14"/>
      <c r="G7" s="52"/>
      <c r="H7" s="11"/>
      <c r="P7" s="53"/>
    </row>
    <row r="8" spans="1:16">
      <c r="A8" s="101" t="s">
        <v>11</v>
      </c>
      <c r="B8" s="38">
        <f>'Family Expenses'!B6</f>
        <v>1260</v>
      </c>
      <c r="C8" s="38">
        <f>B8*12</f>
        <v>15120</v>
      </c>
      <c r="D8" s="103">
        <f>C8/C17</f>
        <v>0.23351713993557827</v>
      </c>
      <c r="E8" s="19"/>
      <c r="G8" s="62">
        <f>SUM(G5:G7)</f>
        <v>13000</v>
      </c>
      <c r="H8" s="11"/>
    </row>
    <row r="9" spans="1:16">
      <c r="A9" s="101" t="s">
        <v>12</v>
      </c>
      <c r="B9" s="38">
        <f>'Family Expenses'!B14</f>
        <v>179.70704999999998</v>
      </c>
      <c r="C9" s="38">
        <f>B9*12</f>
        <v>2156.4845999999998</v>
      </c>
      <c r="D9" s="103">
        <f>C9/C17</f>
        <v>3.3305298684333295E-2</v>
      </c>
      <c r="E9" s="20"/>
      <c r="H9" s="11"/>
    </row>
    <row r="10" spans="1:16">
      <c r="A10" s="101" t="s">
        <v>13</v>
      </c>
      <c r="B10" s="38">
        <f>C10/12</f>
        <v>459.48746701846972</v>
      </c>
      <c r="C10" s="38">
        <f>'Family Expenses'!B23</f>
        <v>5513.8496042216366</v>
      </c>
      <c r="D10" s="103">
        <f>C10/C17</f>
        <v>8.5157300900314606E-2</v>
      </c>
      <c r="E10" s="22"/>
      <c r="H10" s="2"/>
    </row>
    <row r="11" spans="1:16">
      <c r="A11" s="101" t="s">
        <v>14</v>
      </c>
      <c r="B11" s="38">
        <f>C11/12</f>
        <v>1235</v>
      </c>
      <c r="C11" s="38">
        <f>'Family Expenses'!B36</f>
        <v>14820</v>
      </c>
      <c r="D11" s="103">
        <f>C11/C17</f>
        <v>0.22888386334955488</v>
      </c>
      <c r="E11" s="23"/>
      <c r="H11" s="2"/>
    </row>
    <row r="12" spans="1:16">
      <c r="A12" s="101" t="s">
        <v>15</v>
      </c>
      <c r="B12" s="38">
        <f>164.81</f>
        <v>164.81</v>
      </c>
      <c r="C12" s="38">
        <f>B12*12</f>
        <v>1977.72</v>
      </c>
      <c r="D12" s="103">
        <f>C12/C17</f>
        <v>3.0544412565700521E-2</v>
      </c>
      <c r="E12" s="23"/>
      <c r="H12" s="2"/>
    </row>
    <row r="13" spans="1:16">
      <c r="A13" s="101" t="s">
        <v>16</v>
      </c>
      <c r="B13" s="38">
        <f>C13/12</f>
        <v>223.65</v>
      </c>
      <c r="C13" s="38">
        <f>(C41*C42)*2+(B41*B42)*2</f>
        <v>2683.8</v>
      </c>
      <c r="D13" s="103">
        <f>C13/C17</f>
        <v>4.1449292338565147E-2</v>
      </c>
      <c r="E13" s="1"/>
      <c r="H13" s="1"/>
    </row>
    <row r="14" spans="1:16">
      <c r="A14" s="101" t="s">
        <v>17</v>
      </c>
      <c r="B14" s="38">
        <f>C14/12</f>
        <v>69.805555555555557</v>
      </c>
      <c r="C14" s="38">
        <f>'Family Expenses'!B28</f>
        <v>837.66666666666663</v>
      </c>
      <c r="D14" s="103">
        <f>C14/C17</f>
        <v>1.2937137845196388E-2</v>
      </c>
      <c r="E14" s="10"/>
      <c r="H14" s="2"/>
    </row>
    <row r="15" spans="1:16">
      <c r="A15" s="101" t="s">
        <v>18</v>
      </c>
      <c r="B15" s="38">
        <f>C15/12</f>
        <v>387.59409366668092</v>
      </c>
      <c r="C15" s="38">
        <f>'Family Expenses'!B17</f>
        <v>4651.129124000171</v>
      </c>
      <c r="D15" s="104">
        <f>C15/C17</f>
        <v>7.1833225562671396E-2</v>
      </c>
      <c r="E15" s="14"/>
      <c r="H15" s="4"/>
    </row>
    <row r="16" spans="1:16">
      <c r="A16" s="101" t="s">
        <v>19</v>
      </c>
      <c r="B16" s="38">
        <f>C16/12</f>
        <v>387.59409366668092</v>
      </c>
      <c r="C16" s="55">
        <f>C15</f>
        <v>4651.129124000171</v>
      </c>
      <c r="D16" s="103">
        <f>C16/C17</f>
        <v>7.1833225562671396E-2</v>
      </c>
      <c r="E16" s="14"/>
      <c r="H16" s="4"/>
    </row>
    <row r="17" spans="1:13">
      <c r="A17" s="109" t="s">
        <v>20</v>
      </c>
      <c r="B17" s="110">
        <f>SUM(B6:B16)</f>
        <v>5395.7495383319765</v>
      </c>
      <c r="C17" s="110">
        <f>SUM(C6:C16)</f>
        <v>64748.994459983718</v>
      </c>
      <c r="D17" s="111">
        <f>C17/C17</f>
        <v>1</v>
      </c>
      <c r="E17" s="14"/>
      <c r="H17" s="25"/>
    </row>
    <row r="18" spans="1:13">
      <c r="A18" s="6"/>
      <c r="B18" s="25"/>
      <c r="C18" s="25"/>
      <c r="D18" s="25"/>
      <c r="E18" s="14"/>
      <c r="H18" s="26"/>
    </row>
    <row r="19" spans="1:13" ht="17.25">
      <c r="A19" s="151" t="s">
        <v>21</v>
      </c>
      <c r="B19" s="151"/>
      <c r="C19" s="151"/>
      <c r="D19" s="151"/>
      <c r="E19" s="90"/>
      <c r="F19" s="91"/>
      <c r="H19" s="92"/>
    </row>
    <row r="20" spans="1:13">
      <c r="A20" s="1"/>
      <c r="B20" s="2"/>
      <c r="C20" s="5"/>
      <c r="D20" s="1"/>
      <c r="J20" s="24"/>
      <c r="M20" s="50"/>
    </row>
    <row r="21" spans="1:13">
      <c r="A21" s="1"/>
      <c r="B21" s="2"/>
      <c r="C21" s="5"/>
      <c r="D21" s="1"/>
      <c r="E21" s="7"/>
      <c r="F21" s="65" t="s">
        <v>22</v>
      </c>
      <c r="G21" s="65"/>
      <c r="H21" s="65" t="s">
        <v>23</v>
      </c>
      <c r="J21" s="24"/>
      <c r="M21" s="50"/>
    </row>
    <row r="22" spans="1:13">
      <c r="A22" s="113" t="s">
        <v>24</v>
      </c>
      <c r="B22" s="106" t="s">
        <v>4</v>
      </c>
      <c r="C22" s="108" t="s">
        <v>5</v>
      </c>
      <c r="D22" s="7"/>
      <c r="E22" s="7"/>
      <c r="F22" s="64" t="s">
        <v>25</v>
      </c>
      <c r="G22" s="128">
        <f>IF((D45-C26)&lt;G23,(5400+6400),IF((D45-C26)&lt;G24,(5400+6400-(D45-C26-G23)*0.135),(5400+6400-(G24-G23)*0.135-(D45-C26-G24)*0.057)))</f>
        <v>8184.8619999999992</v>
      </c>
      <c r="H22" s="64" t="s">
        <v>25</v>
      </c>
      <c r="I22" s="129">
        <f>IF((D45-C26)&lt;I23,(1471*2+(2279+2016-(D45-C26-26021)*0.23)),(1471*2-(D45-C26-I23)*0.04))</f>
        <v>2458.8879999999999</v>
      </c>
      <c r="J22" s="24"/>
    </row>
    <row r="23" spans="1:13">
      <c r="A23" s="101" t="s">
        <v>26</v>
      </c>
      <c r="B23" s="38">
        <f>C23/6</f>
        <v>204.90733333333333</v>
      </c>
      <c r="C23" s="112">
        <f>I22/2</f>
        <v>1229.444</v>
      </c>
      <c r="D23" s="14"/>
      <c r="E23" s="6"/>
      <c r="F23" s="126" t="s">
        <v>27</v>
      </c>
      <c r="G23" s="133">
        <v>30000</v>
      </c>
      <c r="H23" s="127" t="s">
        <v>28</v>
      </c>
      <c r="I23" s="128">
        <v>44701</v>
      </c>
      <c r="J23" s="24"/>
    </row>
    <row r="24" spans="1:13">
      <c r="A24" s="101"/>
      <c r="B24" s="38"/>
      <c r="C24" s="112"/>
      <c r="D24" s="14"/>
      <c r="E24" s="6"/>
      <c r="F24" s="64" t="s">
        <v>29</v>
      </c>
      <c r="G24" s="128">
        <v>65000</v>
      </c>
      <c r="H24" s="127" t="s">
        <v>30</v>
      </c>
      <c r="I24" s="130">
        <f>(1471*2)/0.04+I23</f>
        <v>118251</v>
      </c>
      <c r="J24" s="24"/>
    </row>
    <row r="25" spans="1:13">
      <c r="A25" s="101" t="s">
        <v>31</v>
      </c>
      <c r="B25" s="38">
        <v>0</v>
      </c>
      <c r="C25" s="112">
        <f>B25*12</f>
        <v>0</v>
      </c>
      <c r="D25" s="14"/>
      <c r="E25" s="1"/>
      <c r="F25" s="51" t="s">
        <v>32</v>
      </c>
      <c r="G25" s="128">
        <f>(6400+5400-(G24-G22)*0.135)/0.057+G24</f>
        <v>137455.37491228071</v>
      </c>
      <c r="H25" s="127" t="s">
        <v>33</v>
      </c>
      <c r="I25" s="131">
        <f>(2279+2016)/0.23+26021</f>
        <v>44694.913043478256</v>
      </c>
      <c r="J25" s="24"/>
    </row>
    <row r="26" spans="1:13">
      <c r="A26" s="101" t="s">
        <v>34</v>
      </c>
      <c r="B26" s="38">
        <f>160+60</f>
        <v>220</v>
      </c>
      <c r="C26" s="112">
        <f>B26*6</f>
        <v>1320</v>
      </c>
      <c r="D26" s="14"/>
      <c r="E26" s="1"/>
      <c r="H26" s="26"/>
      <c r="J26" s="24"/>
    </row>
    <row r="27" spans="1:13">
      <c r="A27" s="101" t="s">
        <v>35</v>
      </c>
      <c r="B27" s="38">
        <f>C27/6</f>
        <v>682.0718333333333</v>
      </c>
      <c r="C27" s="112">
        <f>G22/2</f>
        <v>4092.4309999999996</v>
      </c>
      <c r="D27" s="14"/>
      <c r="E27" s="32"/>
      <c r="H27" s="25"/>
      <c r="J27" s="24"/>
    </row>
    <row r="28" spans="1:13">
      <c r="A28" s="101" t="s">
        <v>36</v>
      </c>
      <c r="B28" s="38">
        <v>0</v>
      </c>
      <c r="C28" s="112">
        <v>0</v>
      </c>
      <c r="D28" s="29"/>
      <c r="E28" s="33"/>
      <c r="F28" s="152" t="s">
        <v>37</v>
      </c>
      <c r="G28" s="153"/>
      <c r="H28" s="1"/>
      <c r="J28" s="24"/>
    </row>
    <row r="29" spans="1:13">
      <c r="A29" s="101" t="s">
        <v>38</v>
      </c>
      <c r="B29" s="38">
        <v>0</v>
      </c>
      <c r="C29" s="112">
        <v>0</v>
      </c>
      <c r="D29" s="29"/>
      <c r="E29" s="32"/>
      <c r="F29" s="18" t="s">
        <v>39</v>
      </c>
      <c r="G29" s="16">
        <f>'Family Expenses'!B26*2</f>
        <v>806</v>
      </c>
      <c r="H29" s="1"/>
      <c r="J29" s="1"/>
    </row>
    <row r="30" spans="1:13">
      <c r="D30" s="1"/>
      <c r="E30" s="6"/>
      <c r="F30" s="18" t="s">
        <v>40</v>
      </c>
      <c r="G30" s="16">
        <f>120*8</f>
        <v>960</v>
      </c>
      <c r="H30" s="31"/>
      <c r="J30" s="1"/>
    </row>
    <row r="31" spans="1:13">
      <c r="A31" s="109" t="s">
        <v>20</v>
      </c>
      <c r="B31" s="110">
        <f>SUM(B23:B29)</f>
        <v>1106.9791666666665</v>
      </c>
      <c r="C31" s="114">
        <f>SUM(C23:C29)</f>
        <v>6641.875</v>
      </c>
      <c r="D31" s="1"/>
      <c r="E31" s="6"/>
      <c r="F31" s="18" t="s">
        <v>41</v>
      </c>
      <c r="G31" s="16">
        <f>20*8</f>
        <v>160</v>
      </c>
      <c r="H31" s="25"/>
      <c r="J31" s="8"/>
    </row>
    <row r="32" spans="1:13" ht="17.25">
      <c r="A32" s="6"/>
      <c r="B32" s="25"/>
      <c r="C32" s="25"/>
      <c r="D32" s="40"/>
      <c r="E32" s="33"/>
      <c r="F32" s="44" t="s">
        <v>20</v>
      </c>
      <c r="G32" s="43">
        <f>SUM(G29:G31)</f>
        <v>1926</v>
      </c>
      <c r="H32" s="30"/>
      <c r="J32" s="1"/>
    </row>
    <row r="33" spans="1:15" ht="17.25">
      <c r="A33" s="40" t="s">
        <v>42</v>
      </c>
      <c r="B33" s="40"/>
      <c r="C33" s="40"/>
      <c r="D33" s="1"/>
      <c r="E33" s="33"/>
      <c r="F33" s="25"/>
      <c r="G33" s="2"/>
      <c r="H33" s="25"/>
      <c r="J33" s="1"/>
    </row>
    <row r="34" spans="1:15">
      <c r="A34" s="42"/>
      <c r="B34" s="66"/>
      <c r="C34" s="41" t="s">
        <v>5</v>
      </c>
      <c r="D34" s="8"/>
      <c r="E34" s="6"/>
      <c r="F34" s="154" t="s">
        <v>43</v>
      </c>
      <c r="G34" s="155"/>
      <c r="H34" s="25"/>
    </row>
    <row r="35" spans="1:15">
      <c r="A35" s="141" t="s">
        <v>44</v>
      </c>
      <c r="B35" s="39"/>
      <c r="C35" s="21">
        <f>C31+D51</f>
        <v>65622.203066515998</v>
      </c>
      <c r="D35" s="1"/>
      <c r="E35" s="6"/>
      <c r="F35" s="18" t="s">
        <v>39</v>
      </c>
      <c r="G35" s="16">
        <f>'Family Expenses'!B26*2</f>
        <v>806</v>
      </c>
      <c r="H35" s="25"/>
    </row>
    <row r="36" spans="1:15">
      <c r="A36" s="141" t="s">
        <v>45</v>
      </c>
      <c r="B36" s="39"/>
      <c r="C36" s="21">
        <f>C17</f>
        <v>64748.994459983718</v>
      </c>
      <c r="D36" s="1"/>
      <c r="E36" s="2"/>
      <c r="F36" s="18" t="s">
        <v>46</v>
      </c>
      <c r="G36" s="16">
        <f>60*8</f>
        <v>480</v>
      </c>
      <c r="H36" s="25"/>
      <c r="J36" s="56"/>
    </row>
    <row r="37" spans="1:15">
      <c r="A37" s="48" t="s">
        <v>47</v>
      </c>
      <c r="B37" s="49"/>
      <c r="C37" s="45">
        <f>C35-C36</f>
        <v>873.2086065322801</v>
      </c>
      <c r="D37" s="1"/>
      <c r="E37" s="1"/>
      <c r="F37" s="44" t="s">
        <v>20</v>
      </c>
      <c r="G37" s="43">
        <f>SUM(G35:G36)</f>
        <v>1286</v>
      </c>
      <c r="H37" s="25"/>
    </row>
    <row r="38" spans="1:15">
      <c r="A38" s="6"/>
      <c r="B38" s="25"/>
      <c r="C38" s="25"/>
      <c r="D38" s="1"/>
      <c r="E38" s="1"/>
      <c r="H38" s="6"/>
      <c r="J38" s="51"/>
    </row>
    <row r="39" spans="1:15" ht="17.25">
      <c r="A39" s="40" t="s">
        <v>48</v>
      </c>
      <c r="B39" s="40"/>
      <c r="C39" s="40"/>
      <c r="D39" s="1"/>
      <c r="E39" s="1"/>
      <c r="F39" s="1"/>
      <c r="G39" s="1"/>
      <c r="H39" s="6"/>
      <c r="I39" s="1"/>
      <c r="J39" s="1"/>
    </row>
    <row r="40" spans="1:15">
      <c r="A40" s="122" t="s">
        <v>49</v>
      </c>
      <c r="B40" s="106" t="s">
        <v>50</v>
      </c>
      <c r="C40" s="107" t="s">
        <v>51</v>
      </c>
      <c r="D40" s="108" t="s">
        <v>20</v>
      </c>
      <c r="E40" s="1"/>
      <c r="H40" s="1"/>
      <c r="I40" s="1"/>
      <c r="J40" s="24"/>
    </row>
    <row r="41" spans="1:15">
      <c r="A41" s="115" t="s">
        <v>52</v>
      </c>
      <c r="B41" s="34">
        <v>35</v>
      </c>
      <c r="C41" s="15">
        <v>35</v>
      </c>
      <c r="D41" s="118">
        <f>B41+C41</f>
        <v>70</v>
      </c>
      <c r="E41" s="5"/>
      <c r="H41" s="1"/>
      <c r="I41" s="1"/>
      <c r="J41" s="1"/>
    </row>
    <row r="42" spans="1:15">
      <c r="A42" s="100" t="s">
        <v>53</v>
      </c>
      <c r="B42" s="45">
        <v>19.170000000000002</v>
      </c>
      <c r="C42" s="47">
        <f>B42</f>
        <v>19.170000000000002</v>
      </c>
      <c r="D42" s="118"/>
      <c r="H42" s="1"/>
      <c r="I42" s="1"/>
      <c r="J42" s="1"/>
    </row>
    <row r="43" spans="1:15" ht="17.25">
      <c r="A43" s="101" t="s">
        <v>54</v>
      </c>
      <c r="B43" s="38">
        <f>(B42*B41)*52</f>
        <v>34889.4</v>
      </c>
      <c r="C43" s="38">
        <f>B43</f>
        <v>34889.4</v>
      </c>
      <c r="D43" s="112">
        <f>B43+C43</f>
        <v>69778.8</v>
      </c>
      <c r="E43" s="142"/>
      <c r="H43" s="1"/>
      <c r="I43" s="1"/>
      <c r="J43" s="1"/>
    </row>
    <row r="44" spans="1:15">
      <c r="A44" s="116" t="s">
        <v>55</v>
      </c>
      <c r="B44" s="36">
        <f>-(G8-C26)</f>
        <v>-11680</v>
      </c>
      <c r="C44" s="35"/>
      <c r="D44" s="119"/>
      <c r="E44" s="1"/>
      <c r="H44" s="1"/>
      <c r="I44" s="1"/>
      <c r="J44" s="2"/>
      <c r="K44" s="24"/>
      <c r="L44" s="1"/>
      <c r="M44" s="1"/>
      <c r="N44" s="1"/>
      <c r="O44" s="1"/>
    </row>
    <row r="45" spans="1:15">
      <c r="A45" s="117" t="s">
        <v>56</v>
      </c>
      <c r="B45" s="46">
        <f>B43+B44</f>
        <v>23209.4</v>
      </c>
      <c r="C45" s="46">
        <f>C43+C44</f>
        <v>34889.4</v>
      </c>
      <c r="D45" s="120">
        <f>B45+C45</f>
        <v>58098.8</v>
      </c>
      <c r="E45" s="1"/>
      <c r="H45" s="5"/>
      <c r="I45" s="1"/>
      <c r="J45" s="1"/>
      <c r="K45" s="1"/>
      <c r="L45" s="1"/>
      <c r="M45" s="1"/>
      <c r="N45" s="1"/>
      <c r="O45" s="1"/>
    </row>
    <row r="46" spans="1:15">
      <c r="A46" s="101" t="s">
        <v>57</v>
      </c>
      <c r="B46" s="38">
        <f>B43*0.0188</f>
        <v>655.92072000000007</v>
      </c>
      <c r="C46" s="38">
        <f>C43*0.0188</f>
        <v>655.92072000000007</v>
      </c>
      <c r="D46" s="112">
        <f t="shared" ref="D46:D52" si="0">B46+C46</f>
        <v>1311.8414400000001</v>
      </c>
      <c r="E46" s="1"/>
      <c r="H46" s="1"/>
      <c r="I46" s="1"/>
      <c r="J46" s="1"/>
      <c r="K46" s="1"/>
      <c r="L46" s="1"/>
      <c r="M46" s="1"/>
      <c r="N46" s="1"/>
      <c r="O46" s="1"/>
    </row>
    <row r="47" spans="1:15">
      <c r="A47" s="101" t="s">
        <v>58</v>
      </c>
      <c r="B47" s="38">
        <f>(B43-3500)*0.0495</f>
        <v>1553.7753000000002</v>
      </c>
      <c r="C47" s="38">
        <f>(C43-3500)*0.0495</f>
        <v>1553.7753000000002</v>
      </c>
      <c r="D47" s="112">
        <f t="shared" si="0"/>
        <v>3107.5506000000005</v>
      </c>
      <c r="E47" s="1"/>
      <c r="G47" s="1"/>
      <c r="H47" s="1"/>
      <c r="I47" s="1"/>
      <c r="J47" s="1"/>
      <c r="K47" s="1"/>
      <c r="L47" s="1"/>
      <c r="M47" s="1"/>
      <c r="N47" s="1"/>
      <c r="O47" s="1"/>
    </row>
    <row r="48" spans="1:15">
      <c r="A48" s="101" t="s">
        <v>59</v>
      </c>
      <c r="B48" s="38">
        <f>MAX(0,((B45*0.15)-((11327+(C12-B45*0.03)+B46+B47+1146+2*500)*0.15)))</f>
        <v>936.78989700000011</v>
      </c>
      <c r="C48" s="38">
        <f>MAX(0,(C45*0.15-(11327+C46+C47+1146+2255+'Family Expenses'!B21+G32)*0.15))</f>
        <v>2263.4555970000001</v>
      </c>
      <c r="D48" s="112">
        <f t="shared" si="0"/>
        <v>3200.2454940000002</v>
      </c>
      <c r="E48" s="1"/>
      <c r="H48" s="1"/>
      <c r="I48" s="1"/>
      <c r="J48" s="1"/>
      <c r="K48" s="1"/>
      <c r="L48" s="1"/>
      <c r="M48" s="1"/>
      <c r="N48" s="1"/>
      <c r="O48" s="1"/>
    </row>
    <row r="49" spans="1:15">
      <c r="A49" s="101" t="s">
        <v>60</v>
      </c>
      <c r="B49" s="38">
        <f>MAX(0,((B45*0.0879)-((8481+(C12-B45*0.03)+1200+B46+B47+500)*0.0879)))</f>
        <v>838.32567964200007</v>
      </c>
      <c r="C49" s="38">
        <f>MAX(0,((((C45-29590)*0.1495)+2601)-((8481+C46+C47+G37)*0.0879)))</f>
        <v>2340.5087198419997</v>
      </c>
      <c r="D49" s="112">
        <f t="shared" si="0"/>
        <v>3178.8343994839997</v>
      </c>
      <c r="E49" s="1"/>
      <c r="H49" s="1"/>
      <c r="I49" s="1"/>
      <c r="J49" s="1"/>
      <c r="K49" s="1"/>
      <c r="L49" s="5"/>
      <c r="M49" s="1"/>
      <c r="N49" s="1"/>
      <c r="O49" s="1"/>
    </row>
    <row r="50" spans="1:15">
      <c r="A50" s="101" t="s">
        <v>61</v>
      </c>
      <c r="B50" s="38">
        <f>IF(D45-C26&lt;48546, IF((0.25*(C12-B45*0.03) - 0.05*(D45-C26-25506))&gt;0,-1*(0.25*(C12-B45*0.03) - 0.05*(D45-C26-25506)),0),0)</f>
        <v>0</v>
      </c>
      <c r="C50" s="38">
        <v>0</v>
      </c>
      <c r="D50" s="112">
        <f t="shared" si="0"/>
        <v>0</v>
      </c>
      <c r="E50" s="5"/>
      <c r="H50" s="1"/>
      <c r="I50" s="1"/>
      <c r="J50" s="1"/>
      <c r="K50" s="1"/>
      <c r="L50" s="1"/>
      <c r="M50" s="5"/>
      <c r="N50" s="5"/>
      <c r="O50" s="1"/>
    </row>
    <row r="51" spans="1:15">
      <c r="A51" s="115" t="s">
        <v>62</v>
      </c>
      <c r="B51" s="21">
        <f>B43-SUM(B46:B49)+B50</f>
        <v>30904.588403358001</v>
      </c>
      <c r="C51" s="21">
        <f>C43-SUM(C46:C49)+C50</f>
        <v>28075.739663158001</v>
      </c>
      <c r="D51" s="121">
        <f t="shared" si="0"/>
        <v>58980.328066515998</v>
      </c>
      <c r="E51" s="1"/>
      <c r="H51" s="1"/>
      <c r="I51" s="1"/>
      <c r="J51" s="1"/>
      <c r="K51" s="1"/>
      <c r="L51" s="1"/>
      <c r="M51" s="1"/>
      <c r="N51" s="1"/>
      <c r="O51" s="1"/>
    </row>
    <row r="52" spans="1:15">
      <c r="A52" s="123" t="s">
        <v>63</v>
      </c>
      <c r="B52" s="124">
        <f>B51/12</f>
        <v>2575.3823669465</v>
      </c>
      <c r="C52" s="124">
        <f>C51/12</f>
        <v>2339.6449719298334</v>
      </c>
      <c r="D52" s="125">
        <f t="shared" si="0"/>
        <v>4915.0273388763335</v>
      </c>
      <c r="H52" s="1"/>
      <c r="I52" s="1"/>
      <c r="J52" s="1"/>
      <c r="K52" s="1"/>
      <c r="L52" s="1"/>
      <c r="M52" s="1"/>
      <c r="N52" s="1"/>
      <c r="O52" s="1"/>
    </row>
    <row r="53" spans="1:15">
      <c r="H53" s="1"/>
      <c r="I53" s="5"/>
      <c r="J53" s="5"/>
      <c r="K53" s="1"/>
      <c r="L53" s="1"/>
      <c r="M53" s="1"/>
      <c r="N53" s="1"/>
      <c r="O53" s="1"/>
    </row>
    <row r="54" spans="1:15" ht="17.25">
      <c r="A54" s="142" t="s">
        <v>64</v>
      </c>
      <c r="B54" s="142"/>
      <c r="C54" s="142"/>
      <c r="D54" s="142"/>
      <c r="H54" s="1"/>
      <c r="I54" s="1"/>
      <c r="J54" s="1"/>
      <c r="K54" s="1"/>
      <c r="L54" s="1"/>
      <c r="M54" s="1"/>
      <c r="N54" s="1"/>
      <c r="O54" s="1"/>
    </row>
    <row r="55" spans="1:15">
      <c r="A55" s="146" t="s">
        <v>65</v>
      </c>
      <c r="B55" s="147"/>
      <c r="C55" s="148"/>
      <c r="D55" s="21">
        <f xml:space="preserve"> D43</f>
        <v>69778.8</v>
      </c>
      <c r="I55" s="1"/>
      <c r="J55" s="1"/>
      <c r="K55" s="1"/>
      <c r="L55" s="1"/>
      <c r="M55" s="1"/>
      <c r="N55" s="1"/>
      <c r="O55" s="5"/>
    </row>
    <row r="56" spans="1:15">
      <c r="A56" s="146" t="s">
        <v>66</v>
      </c>
      <c r="B56" s="147"/>
      <c r="C56" s="148"/>
      <c r="D56" s="21">
        <f>SUM(B46:B49)+SUM(C46:C49)</f>
        <v>10798.471933484001</v>
      </c>
      <c r="I56" s="1"/>
      <c r="J56" s="1"/>
      <c r="K56" s="1"/>
      <c r="L56" s="1"/>
      <c r="M56" s="1"/>
      <c r="N56" s="1"/>
      <c r="O56" s="1"/>
    </row>
    <row r="57" spans="1:15">
      <c r="A57" s="146" t="s">
        <v>67</v>
      </c>
      <c r="B57" s="147"/>
      <c r="C57" s="148"/>
      <c r="D57" s="21">
        <f>D55-D56</f>
        <v>58980.328066515998</v>
      </c>
      <c r="I57" s="1"/>
      <c r="J57" s="1"/>
      <c r="K57" s="1"/>
      <c r="L57" s="1"/>
      <c r="M57" s="1"/>
      <c r="N57" s="1"/>
      <c r="O57" s="1"/>
    </row>
    <row r="58" spans="1:15">
      <c r="A58" s="156" t="s">
        <v>68</v>
      </c>
      <c r="B58" s="157"/>
      <c r="C58" s="158"/>
      <c r="D58" s="21">
        <f>C31</f>
        <v>6641.875</v>
      </c>
      <c r="I58" s="1"/>
      <c r="J58" s="1"/>
      <c r="K58" s="1"/>
      <c r="L58" s="1"/>
      <c r="M58" s="1"/>
      <c r="N58" s="1"/>
      <c r="O58" s="1"/>
    </row>
    <row r="59" spans="1:15">
      <c r="A59" s="146" t="s">
        <v>69</v>
      </c>
      <c r="B59" s="147"/>
      <c r="C59" s="148"/>
      <c r="D59" s="21">
        <f>D57+D58</f>
        <v>65622.203066515998</v>
      </c>
      <c r="I59" s="1"/>
      <c r="J59" s="1"/>
      <c r="K59" s="5"/>
      <c r="O59" s="1"/>
    </row>
    <row r="60" spans="1:15">
      <c r="A60" s="146" t="s">
        <v>70</v>
      </c>
      <c r="B60" s="147"/>
      <c r="C60" s="148"/>
      <c r="D60" s="21">
        <f>C17</f>
        <v>64748.994459983718</v>
      </c>
      <c r="I60" s="1"/>
      <c r="J60" s="1"/>
      <c r="K60" s="1"/>
      <c r="O60" s="1"/>
    </row>
    <row r="61" spans="1:15">
      <c r="A61" s="146" t="s">
        <v>71</v>
      </c>
      <c r="B61" s="147"/>
      <c r="C61" s="148"/>
      <c r="D61" s="21">
        <f>D59-D60</f>
        <v>873.2086065322801</v>
      </c>
      <c r="I61" s="1"/>
      <c r="J61" s="1"/>
      <c r="K61" s="1"/>
      <c r="O61" s="1"/>
    </row>
    <row r="62" spans="1:15">
      <c r="I62" s="1"/>
      <c r="J62" s="1"/>
      <c r="K62" s="1"/>
      <c r="O62" s="1"/>
    </row>
    <row r="63" spans="1:15">
      <c r="I63" s="1"/>
      <c r="J63" s="1"/>
      <c r="K63" s="1"/>
      <c r="O63" s="1"/>
    </row>
    <row r="64" spans="1:15">
      <c r="K64" s="1"/>
    </row>
    <row r="65" spans="11:11">
      <c r="K65" s="1"/>
    </row>
    <row r="66" spans="11:11">
      <c r="K66" s="1"/>
    </row>
    <row r="67" spans="11:11">
      <c r="K67" s="1"/>
    </row>
    <row r="68" spans="11:11">
      <c r="K68" s="1"/>
    </row>
  </sheetData>
  <mergeCells count="12">
    <mergeCell ref="A61:C61"/>
    <mergeCell ref="A1:G1"/>
    <mergeCell ref="A2:B2"/>
    <mergeCell ref="A19:D19"/>
    <mergeCell ref="F28:G28"/>
    <mergeCell ref="F34:G34"/>
    <mergeCell ref="A55:C55"/>
    <mergeCell ref="A56:C56"/>
    <mergeCell ref="A57:C57"/>
    <mergeCell ref="A58:C58"/>
    <mergeCell ref="A59:C59"/>
    <mergeCell ref="A60:C60"/>
  </mergeCells>
  <pageMargins left="0.7" right="0.7" top="0.75" bottom="0.75" header="0.3" footer="0.3"/>
  <pageSetup orientation="portrait" r:id="rId1"/>
  <tableParts count="3">
    <tablePart r:id="rId2"/>
    <tablePart r:id="rId3"/>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L65"/>
  <sheetViews>
    <sheetView workbookViewId="0">
      <selection activeCell="F10" sqref="F10"/>
    </sheetView>
  </sheetViews>
  <sheetFormatPr defaultColWidth="8.85546875" defaultRowHeight="15"/>
  <cols>
    <col min="1" max="1" width="26.85546875" customWidth="1"/>
    <col min="2" max="2" width="27.42578125" customWidth="1"/>
    <col min="9" max="9" width="19.28515625" customWidth="1"/>
    <col min="10" max="10" width="12.7109375" customWidth="1"/>
    <col min="12" max="12" width="12.140625" customWidth="1"/>
  </cols>
  <sheetData>
    <row r="1" spans="1:12">
      <c r="A1" s="64" t="s">
        <v>72</v>
      </c>
      <c r="B1" s="64"/>
      <c r="C1" s="64"/>
      <c r="D1" s="64"/>
      <c r="E1" s="64"/>
      <c r="F1" s="64"/>
      <c r="G1" s="64"/>
      <c r="H1" s="64"/>
      <c r="I1" s="64"/>
      <c r="J1" s="64"/>
      <c r="K1" s="64"/>
      <c r="L1" s="64"/>
    </row>
    <row r="2" spans="1:12">
      <c r="A2" s="64" t="s">
        <v>73</v>
      </c>
      <c r="B2" s="64"/>
      <c r="C2" s="64"/>
      <c r="D2" s="64"/>
      <c r="E2" s="64"/>
      <c r="F2" s="64"/>
      <c r="G2" s="64"/>
      <c r="H2" s="64"/>
      <c r="I2" s="64"/>
      <c r="J2" s="64"/>
      <c r="K2" s="64"/>
      <c r="L2" s="64"/>
    </row>
    <row r="3" spans="1:12">
      <c r="A3" s="64" t="s">
        <v>74</v>
      </c>
      <c r="B3" s="64"/>
      <c r="C3" s="64"/>
      <c r="D3" s="64"/>
      <c r="E3" s="64"/>
      <c r="F3" s="64"/>
      <c r="G3" s="64"/>
      <c r="H3" s="64"/>
      <c r="I3" s="64"/>
      <c r="J3" s="64"/>
      <c r="K3" s="64"/>
      <c r="L3" s="64"/>
    </row>
    <row r="4" spans="1:12">
      <c r="A4" s="64" t="s">
        <v>75</v>
      </c>
      <c r="B4" s="64" t="s">
        <v>76</v>
      </c>
      <c r="C4" s="64">
        <v>2011</v>
      </c>
      <c r="D4" s="64">
        <v>2012</v>
      </c>
      <c r="E4" s="64">
        <v>2013</v>
      </c>
      <c r="F4" s="64">
        <v>2014</v>
      </c>
      <c r="G4" s="64">
        <v>2015</v>
      </c>
      <c r="H4" s="64"/>
      <c r="I4" s="64" t="s">
        <v>77</v>
      </c>
      <c r="J4" s="64"/>
      <c r="K4" s="64"/>
      <c r="L4" s="64"/>
    </row>
    <row r="5" spans="1:12">
      <c r="A5" s="64" t="s">
        <v>78</v>
      </c>
      <c r="B5" s="64" t="s">
        <v>79</v>
      </c>
      <c r="C5" s="64">
        <v>122.7</v>
      </c>
      <c r="D5" s="64">
        <v>125.1</v>
      </c>
      <c r="E5" s="64">
        <v>126.6</v>
      </c>
      <c r="F5" s="64">
        <v>128.80000000000001</v>
      </c>
      <c r="G5" s="64">
        <v>129.30000000000001</v>
      </c>
      <c r="H5" s="64"/>
      <c r="I5" s="64" t="s">
        <v>80</v>
      </c>
      <c r="J5" s="64" t="s">
        <v>81</v>
      </c>
      <c r="K5" s="64">
        <v>2014</v>
      </c>
      <c r="L5" s="64">
        <v>2015</v>
      </c>
    </row>
    <row r="6" spans="1:12">
      <c r="A6" s="64" t="s">
        <v>78</v>
      </c>
      <c r="B6" s="64" t="s">
        <v>82</v>
      </c>
      <c r="C6" s="64">
        <v>134.1</v>
      </c>
      <c r="D6" s="64">
        <v>137.80000000000001</v>
      </c>
      <c r="E6" s="64">
        <v>139.6</v>
      </c>
      <c r="F6" s="64">
        <v>141.5</v>
      </c>
      <c r="G6" s="64">
        <v>147.80000000000001</v>
      </c>
      <c r="H6" s="64"/>
      <c r="I6" s="64" t="s">
        <v>83</v>
      </c>
      <c r="J6" s="64" t="s">
        <v>84</v>
      </c>
      <c r="K6" s="64">
        <v>36879</v>
      </c>
      <c r="L6" s="64"/>
    </row>
    <row r="7" spans="1:12">
      <c r="A7" s="64" t="s">
        <v>78</v>
      </c>
      <c r="B7" s="64" t="s">
        <v>85</v>
      </c>
      <c r="C7" s="64">
        <v>131.19999999999999</v>
      </c>
      <c r="D7" s="64">
        <v>135.19999999999999</v>
      </c>
      <c r="E7" s="64">
        <v>138.1</v>
      </c>
      <c r="F7" s="64">
        <v>141.1</v>
      </c>
      <c r="G7" s="64">
        <v>139.69999999999999</v>
      </c>
      <c r="H7" s="64"/>
      <c r="I7" s="64"/>
      <c r="J7" s="64"/>
      <c r="K7" s="64"/>
      <c r="L7" s="64"/>
    </row>
    <row r="8" spans="1:12">
      <c r="A8" s="64" t="s">
        <v>78</v>
      </c>
      <c r="B8" s="64" t="s">
        <v>86</v>
      </c>
      <c r="C8" s="64">
        <v>111.9</v>
      </c>
      <c r="D8" s="64">
        <v>113.1</v>
      </c>
      <c r="E8" s="64">
        <v>115</v>
      </c>
      <c r="F8" s="64">
        <v>117.2</v>
      </c>
      <c r="G8" s="64">
        <v>120.5</v>
      </c>
      <c r="H8" s="64"/>
      <c r="I8" s="64" t="s">
        <v>83</v>
      </c>
      <c r="J8" s="64" t="s">
        <v>87</v>
      </c>
      <c r="K8" s="64">
        <v>2118</v>
      </c>
      <c r="L8" s="58">
        <f>K8*(G9/F9)</f>
        <v>2156.8228105906314</v>
      </c>
    </row>
    <row r="9" spans="1:12">
      <c r="A9" s="64" t="s">
        <v>78</v>
      </c>
      <c r="B9" s="64" t="s">
        <v>88</v>
      </c>
      <c r="C9" s="64">
        <v>92.9</v>
      </c>
      <c r="D9" s="64">
        <v>93.7</v>
      </c>
      <c r="E9" s="64">
        <v>95.9</v>
      </c>
      <c r="F9" s="64">
        <v>98.2</v>
      </c>
      <c r="G9" s="64">
        <v>100</v>
      </c>
      <c r="H9" s="64"/>
      <c r="I9" s="64" t="s">
        <v>89</v>
      </c>
      <c r="J9" s="64" t="s">
        <v>13</v>
      </c>
      <c r="K9" s="64">
        <v>5029</v>
      </c>
      <c r="L9" s="58">
        <f>K9*(G20/F20)</f>
        <v>4577.8496042216366</v>
      </c>
    </row>
    <row r="10" spans="1:12">
      <c r="A10" s="64" t="s">
        <v>78</v>
      </c>
      <c r="B10" s="64" t="s">
        <v>13</v>
      </c>
      <c r="C10" s="64">
        <v>121.7</v>
      </c>
      <c r="D10" s="64">
        <v>123.9</v>
      </c>
      <c r="E10" s="64">
        <v>124.5</v>
      </c>
      <c r="F10" s="64">
        <v>125.9</v>
      </c>
      <c r="G10" s="64">
        <v>120.9</v>
      </c>
      <c r="H10" s="64"/>
      <c r="I10" s="64"/>
      <c r="J10" s="64"/>
      <c r="K10" s="64"/>
      <c r="L10" s="64"/>
    </row>
    <row r="11" spans="1:12">
      <c r="A11" s="64" t="s">
        <v>78</v>
      </c>
      <c r="B11" s="64" t="s">
        <v>90</v>
      </c>
      <c r="C11" s="64">
        <v>169.4</v>
      </c>
      <c r="D11" s="64">
        <v>176.8</v>
      </c>
      <c r="E11" s="64">
        <v>176.6</v>
      </c>
      <c r="F11" s="64">
        <v>176.9</v>
      </c>
      <c r="G11" s="64">
        <v>143.1</v>
      </c>
      <c r="H11" s="64"/>
      <c r="I11" s="64"/>
      <c r="J11" s="64"/>
      <c r="K11" s="64"/>
      <c r="L11" s="59"/>
    </row>
    <row r="12" spans="1:12">
      <c r="A12" s="64" t="s">
        <v>78</v>
      </c>
      <c r="B12" s="64" t="s">
        <v>91</v>
      </c>
      <c r="C12" s="64">
        <v>115.3</v>
      </c>
      <c r="D12" s="64">
        <v>116.7</v>
      </c>
      <c r="E12" s="64">
        <v>115.5</v>
      </c>
      <c r="F12" s="64">
        <v>116.4</v>
      </c>
      <c r="G12" s="64">
        <v>117.6</v>
      </c>
      <c r="H12" s="64"/>
      <c r="I12" s="64"/>
      <c r="J12" s="64"/>
      <c r="K12" s="64"/>
      <c r="L12" s="64"/>
    </row>
    <row r="13" spans="1:12">
      <c r="A13" s="64" t="s">
        <v>78</v>
      </c>
      <c r="B13" s="64" t="s">
        <v>92</v>
      </c>
      <c r="C13" s="64">
        <v>108.1</v>
      </c>
      <c r="D13" s="64">
        <v>108.3</v>
      </c>
      <c r="E13" s="64">
        <v>107.7</v>
      </c>
      <c r="F13" s="64">
        <v>109.6</v>
      </c>
      <c r="G13" s="64">
        <v>111</v>
      </c>
      <c r="H13" s="64"/>
      <c r="I13" s="64"/>
      <c r="J13" s="64"/>
      <c r="K13" s="64"/>
      <c r="L13" s="64"/>
    </row>
    <row r="14" spans="1:12">
      <c r="A14" s="64" t="s">
        <v>78</v>
      </c>
      <c r="B14" s="64" t="s">
        <v>93</v>
      </c>
      <c r="C14" s="64">
        <v>160.4</v>
      </c>
      <c r="D14" s="64">
        <v>163.1</v>
      </c>
      <c r="E14" s="64">
        <v>167.9</v>
      </c>
      <c r="F14" s="64">
        <v>176.2</v>
      </c>
      <c r="G14" s="64">
        <v>181.2</v>
      </c>
      <c r="H14" s="64"/>
      <c r="I14" s="64"/>
      <c r="J14" s="64"/>
      <c r="K14" s="64"/>
      <c r="L14" s="64"/>
    </row>
    <row r="15" spans="1:12">
      <c r="A15" s="64" t="s">
        <v>78</v>
      </c>
      <c r="B15" s="64" t="s">
        <v>94</v>
      </c>
      <c r="C15" s="64">
        <v>114.1</v>
      </c>
      <c r="D15" s="64">
        <v>115.3</v>
      </c>
      <c r="E15" s="64">
        <v>116.7</v>
      </c>
      <c r="F15" s="64">
        <v>118.6</v>
      </c>
      <c r="G15" s="64">
        <v>120.6</v>
      </c>
      <c r="H15" s="64"/>
      <c r="I15" s="64"/>
      <c r="J15" s="64"/>
      <c r="K15" s="64"/>
      <c r="L15" s="64"/>
    </row>
    <row r="16" spans="1:12">
      <c r="A16" s="64" t="s">
        <v>78</v>
      </c>
      <c r="B16" s="64" t="s">
        <v>95</v>
      </c>
      <c r="C16" s="64">
        <v>118</v>
      </c>
      <c r="D16" s="64">
        <v>119.5</v>
      </c>
      <c r="E16" s="64">
        <v>121</v>
      </c>
      <c r="F16" s="64">
        <v>122.9</v>
      </c>
      <c r="G16" s="64">
        <v>125.6</v>
      </c>
      <c r="H16" s="64"/>
      <c r="I16" s="64"/>
      <c r="J16" s="64"/>
      <c r="K16" s="64"/>
      <c r="L16" s="64"/>
    </row>
    <row r="17" spans="1:11">
      <c r="A17" s="64" t="s">
        <v>78</v>
      </c>
      <c r="B17" s="64" t="s">
        <v>96</v>
      </c>
      <c r="C17" s="64">
        <v>164.9</v>
      </c>
      <c r="D17" s="64">
        <v>174.7</v>
      </c>
      <c r="E17" s="64">
        <v>176.5</v>
      </c>
      <c r="F17" s="64">
        <v>182</v>
      </c>
      <c r="G17" s="64">
        <v>157.4</v>
      </c>
      <c r="H17" s="64"/>
      <c r="I17" s="64"/>
      <c r="J17" s="64"/>
      <c r="K17" s="64"/>
    </row>
    <row r="18" spans="1:11">
      <c r="A18" s="64" t="s">
        <v>78</v>
      </c>
      <c r="B18" s="64" t="s">
        <v>97</v>
      </c>
      <c r="C18" s="64">
        <v>122.2</v>
      </c>
      <c r="D18" s="64">
        <v>124.7</v>
      </c>
      <c r="E18" s="64">
        <v>125.4</v>
      </c>
      <c r="F18" s="64">
        <v>127.3</v>
      </c>
      <c r="G18" s="64">
        <v>126.2</v>
      </c>
      <c r="H18" s="64"/>
      <c r="I18" s="64"/>
      <c r="J18" s="64"/>
      <c r="K18" s="64"/>
    </row>
    <row r="19" spans="1:11">
      <c r="A19" s="64" t="s">
        <v>78</v>
      </c>
      <c r="B19" s="64" t="s">
        <v>98</v>
      </c>
      <c r="C19" s="64">
        <v>123.5</v>
      </c>
      <c r="D19" s="64">
        <v>125.7</v>
      </c>
      <c r="E19" s="64">
        <v>128</v>
      </c>
      <c r="F19" s="64">
        <v>130.6</v>
      </c>
      <c r="G19" s="64">
        <v>133.1</v>
      </c>
      <c r="H19" s="64"/>
      <c r="I19" s="64"/>
      <c r="J19" s="64"/>
      <c r="K19" s="64"/>
    </row>
    <row r="20" spans="1:11" s="64" customFormat="1">
      <c r="A20" s="64" t="s">
        <v>78</v>
      </c>
      <c r="B20" s="64" t="s">
        <v>99</v>
      </c>
      <c r="F20" s="64">
        <v>151.6</v>
      </c>
      <c r="G20" s="64">
        <v>138</v>
      </c>
      <c r="J20" s="69"/>
      <c r="K20" s="69"/>
    </row>
    <row r="21" spans="1:11">
      <c r="A21" s="64" t="s">
        <v>100</v>
      </c>
      <c r="B21" s="64" t="s">
        <v>79</v>
      </c>
      <c r="C21" s="64">
        <v>121.7</v>
      </c>
      <c r="D21" s="64">
        <v>123.8</v>
      </c>
      <c r="E21" s="64">
        <v>125.2</v>
      </c>
      <c r="F21" s="64">
        <v>127.5</v>
      </c>
      <c r="G21" s="64">
        <v>128.19999999999999</v>
      </c>
      <c r="H21" s="64"/>
      <c r="I21" s="64"/>
      <c r="J21" s="64"/>
      <c r="K21" s="64"/>
    </row>
    <row r="22" spans="1:11">
      <c r="A22" s="64" t="s">
        <v>100</v>
      </c>
      <c r="B22" s="64" t="s">
        <v>85</v>
      </c>
      <c r="C22" s="64">
        <v>127</v>
      </c>
      <c r="D22" s="64">
        <v>130</v>
      </c>
      <c r="E22" s="64">
        <v>132.6</v>
      </c>
      <c r="F22" s="64">
        <v>135.30000000000001</v>
      </c>
      <c r="G22" s="64">
        <v>134.6</v>
      </c>
      <c r="H22" s="64"/>
      <c r="I22" s="64"/>
      <c r="J22" s="64"/>
      <c r="K22" s="64"/>
    </row>
    <row r="23" spans="1:11">
      <c r="A23" s="64" t="s">
        <v>101</v>
      </c>
      <c r="B23" s="64"/>
      <c r="C23" s="64"/>
      <c r="D23" s="64"/>
      <c r="E23" s="64"/>
      <c r="F23" s="64"/>
      <c r="G23" s="64"/>
      <c r="H23" s="64"/>
      <c r="I23" s="64"/>
      <c r="J23" s="64"/>
      <c r="K23" s="64"/>
    </row>
    <row r="24" spans="1:11">
      <c r="A24" s="64">
        <v>1</v>
      </c>
      <c r="B24" s="64" t="s">
        <v>102</v>
      </c>
      <c r="C24" s="64"/>
      <c r="D24" s="64"/>
      <c r="E24" s="64"/>
      <c r="F24" s="64"/>
      <c r="G24" s="64"/>
      <c r="H24" s="64"/>
      <c r="I24" s="64"/>
      <c r="J24" s="64"/>
      <c r="K24" s="64"/>
    </row>
    <row r="25" spans="1:11">
      <c r="A25" s="64">
        <v>2</v>
      </c>
      <c r="B25" s="64" t="s">
        <v>103</v>
      </c>
      <c r="C25" s="64"/>
      <c r="D25" s="64"/>
      <c r="E25" s="64"/>
      <c r="F25" s="64"/>
      <c r="G25" s="64"/>
      <c r="H25" s="64"/>
      <c r="I25" s="64"/>
      <c r="J25" s="64"/>
      <c r="K25" s="64"/>
    </row>
    <row r="26" spans="1:11">
      <c r="A26" s="64">
        <v>3</v>
      </c>
      <c r="B26" s="64" t="s">
        <v>104</v>
      </c>
      <c r="C26" s="64"/>
      <c r="D26" s="64"/>
      <c r="E26" s="64"/>
      <c r="F26" s="64"/>
      <c r="G26" s="64"/>
      <c r="H26" s="64"/>
      <c r="I26" s="64"/>
      <c r="J26" s="64"/>
      <c r="K26" s="64"/>
    </row>
    <row r="27" spans="1:11">
      <c r="A27" s="64">
        <v>4</v>
      </c>
      <c r="B27" s="64" t="s">
        <v>105</v>
      </c>
      <c r="C27" s="64"/>
      <c r="D27" s="64"/>
      <c r="E27" s="64"/>
      <c r="F27" s="64"/>
      <c r="G27" s="64"/>
      <c r="H27" s="64"/>
      <c r="I27" s="64"/>
      <c r="J27" s="64"/>
      <c r="K27" s="64"/>
    </row>
    <row r="28" spans="1:11">
      <c r="A28" s="64">
        <v>5</v>
      </c>
      <c r="B28" s="64" t="s">
        <v>106</v>
      </c>
      <c r="C28" s="64"/>
      <c r="D28" s="64"/>
      <c r="E28" s="64"/>
      <c r="F28" s="64"/>
      <c r="G28" s="64"/>
      <c r="H28" s="64"/>
      <c r="I28" s="64"/>
      <c r="J28" s="64"/>
      <c r="K28" s="64"/>
    </row>
    <row r="29" spans="1:11">
      <c r="A29" s="64">
        <v>6</v>
      </c>
      <c r="B29" s="64" t="s">
        <v>107</v>
      </c>
      <c r="C29" s="64"/>
      <c r="D29" s="64"/>
      <c r="E29" s="64"/>
      <c r="F29" s="64"/>
      <c r="G29" s="64"/>
      <c r="H29" s="64"/>
      <c r="I29" s="64"/>
      <c r="J29" s="64"/>
      <c r="K29" s="64"/>
    </row>
    <row r="30" spans="1:11">
      <c r="A30" s="64">
        <v>7</v>
      </c>
      <c r="B30" s="64" t="s">
        <v>108</v>
      </c>
      <c r="C30" s="64"/>
      <c r="D30" s="64"/>
      <c r="E30" s="64"/>
      <c r="F30" s="64"/>
      <c r="G30" s="64"/>
      <c r="H30" s="64"/>
      <c r="I30" s="64"/>
      <c r="J30" s="64"/>
      <c r="K30" s="64"/>
    </row>
    <row r="31" spans="1:11">
      <c r="A31" s="64">
        <v>9</v>
      </c>
      <c r="B31" s="64" t="s">
        <v>109</v>
      </c>
      <c r="C31" s="64"/>
      <c r="D31" s="64"/>
      <c r="E31" s="64"/>
      <c r="F31" s="64"/>
      <c r="G31" s="64"/>
      <c r="H31" s="64"/>
      <c r="I31" s="64"/>
      <c r="J31" s="64"/>
      <c r="K31" s="64"/>
    </row>
    <row r="32" spans="1:11">
      <c r="A32" s="64">
        <v>10</v>
      </c>
      <c r="B32" s="64" t="s">
        <v>110</v>
      </c>
      <c r="C32" s="64"/>
      <c r="D32" s="64"/>
      <c r="E32" s="64"/>
      <c r="F32" s="64"/>
      <c r="G32" s="64"/>
      <c r="H32" s="64"/>
      <c r="I32" s="64"/>
      <c r="J32" s="64"/>
      <c r="K32" s="64"/>
    </row>
    <row r="33" spans="1:7">
      <c r="A33" s="64">
        <v>11</v>
      </c>
      <c r="B33" s="64" t="s">
        <v>111</v>
      </c>
      <c r="C33" s="64"/>
      <c r="D33" s="64"/>
      <c r="E33" s="64"/>
      <c r="F33" s="64"/>
      <c r="G33" s="64"/>
    </row>
    <row r="34" spans="1:7">
      <c r="A34" s="64">
        <v>15</v>
      </c>
      <c r="B34" s="64" t="s">
        <v>112</v>
      </c>
      <c r="C34" s="64"/>
      <c r="D34" s="64"/>
      <c r="E34" s="64"/>
      <c r="F34" s="64"/>
      <c r="G34" s="64"/>
    </row>
    <row r="35" spans="1:7">
      <c r="A35" s="64">
        <v>16</v>
      </c>
      <c r="B35" s="64" t="s">
        <v>113</v>
      </c>
      <c r="C35" s="64"/>
      <c r="D35" s="64"/>
      <c r="E35" s="64"/>
      <c r="F35" s="64"/>
      <c r="G35" s="64"/>
    </row>
    <row r="36" spans="1:7">
      <c r="A36" s="64">
        <v>17</v>
      </c>
      <c r="B36" s="64" t="s">
        <v>114</v>
      </c>
      <c r="C36" s="64"/>
      <c r="D36" s="64"/>
      <c r="E36" s="64"/>
      <c r="F36" s="64"/>
      <c r="G36" s="64"/>
    </row>
    <row r="37" spans="1:7">
      <c r="A37" s="64">
        <v>18</v>
      </c>
      <c r="B37" s="64" t="s">
        <v>115</v>
      </c>
      <c r="C37" s="64"/>
      <c r="D37" s="64"/>
      <c r="E37" s="64"/>
      <c r="F37" s="64"/>
      <c r="G37" s="64"/>
    </row>
    <row r="38" spans="1:7">
      <c r="A38" s="64">
        <v>25</v>
      </c>
      <c r="B38" s="64" t="s">
        <v>116</v>
      </c>
      <c r="C38" s="64"/>
      <c r="D38" s="64"/>
      <c r="E38" s="64"/>
      <c r="F38" s="64"/>
      <c r="G38" s="64"/>
    </row>
    <row r="39" spans="1:7">
      <c r="A39" s="64">
        <v>27</v>
      </c>
      <c r="B39" s="64" t="s">
        <v>117</v>
      </c>
      <c r="C39" s="64"/>
      <c r="D39" s="64"/>
      <c r="E39" s="64"/>
      <c r="F39" s="64"/>
      <c r="G39" s="64"/>
    </row>
    <row r="40" spans="1:7">
      <c r="A40" s="64">
        <v>28</v>
      </c>
      <c r="B40" s="64" t="s">
        <v>118</v>
      </c>
      <c r="C40" s="64"/>
      <c r="D40" s="64"/>
      <c r="E40" s="64"/>
      <c r="F40" s="64"/>
      <c r="G40" s="64"/>
    </row>
    <row r="41" spans="1:7">
      <c r="A41" s="64" t="s">
        <v>119</v>
      </c>
      <c r="B41" s="64"/>
      <c r="C41" s="64"/>
      <c r="D41" s="64"/>
      <c r="E41" s="64"/>
      <c r="F41" s="64"/>
      <c r="G41" s="64"/>
    </row>
    <row r="42" spans="1:7">
      <c r="A42" s="64" t="s">
        <v>120</v>
      </c>
      <c r="B42" s="64"/>
      <c r="C42" s="64"/>
      <c r="D42" s="64"/>
      <c r="E42" s="64"/>
      <c r="F42" s="64"/>
      <c r="G42" s="64"/>
    </row>
    <row r="43" spans="1:7">
      <c r="A43" s="64" t="s">
        <v>121</v>
      </c>
      <c r="B43" s="64"/>
      <c r="C43" s="64"/>
      <c r="D43" s="64"/>
      <c r="E43" s="64"/>
      <c r="F43" s="64"/>
      <c r="G43" s="64"/>
    </row>
    <row r="45" spans="1:7">
      <c r="A45" s="64" t="s">
        <v>122</v>
      </c>
      <c r="B45" s="64"/>
      <c r="C45" s="64"/>
      <c r="D45" s="64"/>
      <c r="E45" s="64"/>
      <c r="F45" s="64"/>
      <c r="G45" s="64"/>
    </row>
    <row r="46" spans="1:7">
      <c r="A46" s="64" t="s">
        <v>73</v>
      </c>
      <c r="B46" s="64"/>
      <c r="C46" s="64"/>
      <c r="D46" s="64"/>
      <c r="E46" s="64"/>
      <c r="F46" s="64"/>
      <c r="G46" s="64"/>
    </row>
    <row r="47" spans="1:7">
      <c r="A47" s="64" t="s">
        <v>74</v>
      </c>
      <c r="B47" s="64"/>
      <c r="C47" s="64"/>
      <c r="D47" s="64"/>
      <c r="E47" s="64"/>
      <c r="F47" s="64"/>
      <c r="G47" s="64"/>
    </row>
    <row r="48" spans="1:7">
      <c r="A48" s="64" t="s">
        <v>123</v>
      </c>
      <c r="B48" s="64" t="s">
        <v>76</v>
      </c>
      <c r="C48" s="64">
        <v>2011</v>
      </c>
      <c r="D48" s="64">
        <v>2012</v>
      </c>
      <c r="E48" s="64">
        <v>2013</v>
      </c>
      <c r="F48" s="64">
        <v>2014</v>
      </c>
      <c r="G48" s="64">
        <v>2015</v>
      </c>
    </row>
    <row r="49" spans="1:7">
      <c r="A49" s="64" t="s">
        <v>78</v>
      </c>
      <c r="B49" s="64" t="s">
        <v>124</v>
      </c>
      <c r="C49" s="64">
        <v>122.7</v>
      </c>
      <c r="D49" s="64">
        <v>125.1</v>
      </c>
      <c r="E49" s="64">
        <v>126.6</v>
      </c>
      <c r="F49" s="64">
        <v>128.80000000000001</v>
      </c>
      <c r="G49" s="64">
        <v>129.30000000000001</v>
      </c>
    </row>
    <row r="50" spans="1:7">
      <c r="A50" s="64" t="s">
        <v>78</v>
      </c>
      <c r="B50" s="64" t="s">
        <v>13</v>
      </c>
      <c r="C50" s="64">
        <v>121.7</v>
      </c>
      <c r="D50" s="64">
        <v>123.9</v>
      </c>
      <c r="E50" s="64">
        <v>124.5</v>
      </c>
      <c r="F50" s="64">
        <v>125.9</v>
      </c>
      <c r="G50" s="64">
        <v>120.9</v>
      </c>
    </row>
    <row r="51" spans="1:7">
      <c r="A51" s="64" t="s">
        <v>78</v>
      </c>
      <c r="B51" s="64" t="s">
        <v>125</v>
      </c>
      <c r="C51" s="64">
        <v>121.6</v>
      </c>
      <c r="D51" s="64">
        <v>123.8</v>
      </c>
      <c r="E51" s="64">
        <v>124.2</v>
      </c>
      <c r="F51" s="64">
        <v>125.4</v>
      </c>
      <c r="G51" s="64">
        <v>119.9</v>
      </c>
    </row>
    <row r="52" spans="1:7">
      <c r="A52" s="64" t="s">
        <v>78</v>
      </c>
      <c r="B52" s="64" t="s">
        <v>126</v>
      </c>
      <c r="C52" s="64">
        <v>92.6</v>
      </c>
      <c r="D52" s="64">
        <v>93.2</v>
      </c>
      <c r="E52" s="64">
        <v>93.8</v>
      </c>
      <c r="F52" s="64">
        <v>95.3</v>
      </c>
      <c r="G52" s="64">
        <v>96.6</v>
      </c>
    </row>
    <row r="53" spans="1:7">
      <c r="A53" s="64" t="s">
        <v>78</v>
      </c>
      <c r="B53" s="64" t="s">
        <v>127</v>
      </c>
      <c r="C53" s="64">
        <v>147</v>
      </c>
      <c r="D53" s="64">
        <v>150.80000000000001</v>
      </c>
      <c r="E53" s="64">
        <v>150.69999999999999</v>
      </c>
      <c r="F53" s="64">
        <v>151.6</v>
      </c>
      <c r="G53" s="64">
        <v>138</v>
      </c>
    </row>
    <row r="54" spans="1:7">
      <c r="A54" s="64" t="s">
        <v>78</v>
      </c>
      <c r="B54" s="64" t="s">
        <v>128</v>
      </c>
      <c r="C54" s="64">
        <v>122.7</v>
      </c>
      <c r="D54" s="64">
        <v>125.4</v>
      </c>
      <c r="E54" s="64">
        <v>128.4</v>
      </c>
      <c r="F54" s="64">
        <v>131.5</v>
      </c>
      <c r="G54" s="64">
        <v>132.5</v>
      </c>
    </row>
    <row r="55" spans="1:7">
      <c r="A55" s="64" t="s">
        <v>78</v>
      </c>
      <c r="B55" s="64" t="s">
        <v>129</v>
      </c>
      <c r="C55" s="64">
        <v>126.6</v>
      </c>
      <c r="D55" s="64">
        <v>127.6</v>
      </c>
      <c r="E55" s="64">
        <v>131.5</v>
      </c>
      <c r="F55" s="64">
        <v>140.69999999999999</v>
      </c>
      <c r="G55" s="64">
        <v>140.69999999999999</v>
      </c>
    </row>
    <row r="56" spans="1:7">
      <c r="A56" s="64" t="s">
        <v>78</v>
      </c>
      <c r="B56" s="64" t="s">
        <v>130</v>
      </c>
      <c r="C56" s="64">
        <v>120.3</v>
      </c>
      <c r="D56" s="64">
        <v>123.6</v>
      </c>
      <c r="E56" s="64">
        <v>126.4</v>
      </c>
      <c r="F56" s="64">
        <v>127.4</v>
      </c>
      <c r="G56" s="64">
        <v>128.6</v>
      </c>
    </row>
    <row r="57" spans="1:7">
      <c r="A57" s="64" t="s">
        <v>100</v>
      </c>
      <c r="B57" s="64" t="s">
        <v>124</v>
      </c>
      <c r="C57" s="64">
        <v>121.7</v>
      </c>
      <c r="D57" s="64">
        <v>123.8</v>
      </c>
      <c r="E57" s="64">
        <v>125.2</v>
      </c>
      <c r="F57" s="64">
        <v>127.5</v>
      </c>
      <c r="G57" s="64">
        <v>128.19999999999999</v>
      </c>
    </row>
    <row r="58" spans="1:7">
      <c r="A58" s="64" t="s">
        <v>101</v>
      </c>
      <c r="B58" s="64"/>
      <c r="C58" s="64"/>
      <c r="D58" s="64"/>
      <c r="E58" s="64"/>
      <c r="F58" s="64"/>
      <c r="G58" s="64"/>
    </row>
    <row r="59" spans="1:7">
      <c r="A59" s="64">
        <v>2</v>
      </c>
      <c r="B59" s="64" t="s">
        <v>103</v>
      </c>
      <c r="C59" s="64"/>
      <c r="D59" s="64"/>
      <c r="E59" s="64"/>
      <c r="F59" s="64"/>
      <c r="G59" s="64"/>
    </row>
    <row r="60" spans="1:7">
      <c r="A60" s="64">
        <v>9</v>
      </c>
      <c r="B60" s="64" t="s">
        <v>109</v>
      </c>
      <c r="C60" s="64"/>
      <c r="D60" s="64"/>
      <c r="E60" s="64"/>
      <c r="F60" s="64"/>
      <c r="G60" s="64"/>
    </row>
    <row r="61" spans="1:7">
      <c r="A61" s="64">
        <v>11</v>
      </c>
      <c r="B61" s="64" t="s">
        <v>131</v>
      </c>
      <c r="C61" s="64"/>
      <c r="D61" s="64"/>
      <c r="E61" s="64"/>
      <c r="F61" s="64"/>
      <c r="G61" s="64"/>
    </row>
    <row r="62" spans="1:7">
      <c r="A62" s="64">
        <v>15</v>
      </c>
      <c r="B62" s="64" t="s">
        <v>132</v>
      </c>
      <c r="C62" s="64"/>
      <c r="D62" s="64"/>
      <c r="E62" s="64"/>
      <c r="F62" s="64"/>
      <c r="G62" s="64"/>
    </row>
    <row r="63" spans="1:7">
      <c r="A63" s="64" t="s">
        <v>119</v>
      </c>
      <c r="B63" s="64"/>
      <c r="C63" s="64"/>
      <c r="D63" s="64"/>
      <c r="E63" s="64"/>
      <c r="F63" s="64"/>
      <c r="G63" s="64"/>
    </row>
    <row r="64" spans="1:7">
      <c r="A64" s="64" t="s">
        <v>133</v>
      </c>
      <c r="B64" s="64"/>
      <c r="C64" s="64"/>
      <c r="D64" s="64"/>
      <c r="E64" s="64"/>
      <c r="F64" s="64"/>
      <c r="G64" s="64"/>
    </row>
    <row r="65" spans="1:7">
      <c r="A65" s="64" t="s">
        <v>134</v>
      </c>
      <c r="B65" s="64"/>
      <c r="C65" s="64"/>
      <c r="D65" s="64"/>
      <c r="E65" s="64"/>
      <c r="F65" s="64"/>
      <c r="G65" s="64"/>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F42"/>
  <sheetViews>
    <sheetView workbookViewId="0">
      <selection activeCell="E26" sqref="E26"/>
    </sheetView>
  </sheetViews>
  <sheetFormatPr defaultColWidth="8.85546875" defaultRowHeight="15"/>
  <cols>
    <col min="1" max="1" width="33.28515625" customWidth="1"/>
    <col min="3" max="3" width="19.140625" customWidth="1"/>
  </cols>
  <sheetData>
    <row r="1" spans="1:4">
      <c r="A1" s="64" t="s">
        <v>135</v>
      </c>
      <c r="B1" s="64"/>
      <c r="C1" s="64"/>
      <c r="D1" s="64"/>
    </row>
    <row r="2" spans="1:4">
      <c r="A2" s="64" t="s">
        <v>73</v>
      </c>
      <c r="B2" s="64"/>
      <c r="C2" s="64"/>
      <c r="D2" s="64"/>
    </row>
    <row r="3" spans="1:4">
      <c r="A3" s="64" t="s">
        <v>136</v>
      </c>
      <c r="B3" s="64"/>
      <c r="C3" s="64"/>
      <c r="D3" s="64"/>
    </row>
    <row r="4" spans="1:4">
      <c r="A4" s="64" t="s">
        <v>137</v>
      </c>
      <c r="B4" s="64"/>
      <c r="C4" s="64"/>
      <c r="D4" s="64"/>
    </row>
    <row r="5" spans="1:4">
      <c r="A5" s="64" t="s">
        <v>138</v>
      </c>
      <c r="B5" s="64" t="s">
        <v>139</v>
      </c>
      <c r="C5" s="64" t="s">
        <v>81</v>
      </c>
      <c r="D5" s="64">
        <v>2014</v>
      </c>
    </row>
    <row r="6" spans="1:4">
      <c r="A6" s="64" t="s">
        <v>140</v>
      </c>
      <c r="B6" s="64" t="s">
        <v>141</v>
      </c>
      <c r="C6" s="64" t="s">
        <v>84</v>
      </c>
      <c r="D6" s="64">
        <v>38114</v>
      </c>
    </row>
    <row r="7" spans="1:4">
      <c r="A7" s="64" t="s">
        <v>140</v>
      </c>
      <c r="B7" s="64" t="s">
        <v>141</v>
      </c>
      <c r="C7" s="64" t="s">
        <v>8</v>
      </c>
      <c r="D7" s="64">
        <v>12180</v>
      </c>
    </row>
    <row r="8" spans="1:4">
      <c r="A8" s="64" t="s">
        <v>140</v>
      </c>
      <c r="B8" s="64" t="s">
        <v>141</v>
      </c>
      <c r="C8" s="64" t="s">
        <v>87</v>
      </c>
      <c r="D8" s="64">
        <v>2118</v>
      </c>
    </row>
    <row r="9" spans="1:4">
      <c r="A9" s="64" t="s">
        <v>140</v>
      </c>
      <c r="B9" s="64" t="s">
        <v>141</v>
      </c>
      <c r="C9" s="64" t="s">
        <v>13</v>
      </c>
      <c r="D9" s="64">
        <v>5029</v>
      </c>
    </row>
    <row r="10" spans="1:4">
      <c r="A10" s="64" t="s">
        <v>140</v>
      </c>
      <c r="B10" s="64" t="s">
        <v>141</v>
      </c>
      <c r="C10" s="64" t="s">
        <v>11</v>
      </c>
      <c r="D10" s="64">
        <v>8013</v>
      </c>
    </row>
    <row r="11" spans="1:4">
      <c r="A11" s="64" t="s">
        <v>140</v>
      </c>
      <c r="B11" s="64" t="s">
        <v>141</v>
      </c>
      <c r="C11" s="64" t="s">
        <v>142</v>
      </c>
      <c r="D11" s="64">
        <v>10776</v>
      </c>
    </row>
    <row r="12" spans="1:4">
      <c r="A12" s="64" t="s">
        <v>143</v>
      </c>
      <c r="B12" s="64" t="s">
        <v>141</v>
      </c>
      <c r="C12" s="64" t="s">
        <v>84</v>
      </c>
      <c r="D12" s="64">
        <v>38295</v>
      </c>
    </row>
    <row r="13" spans="1:4">
      <c r="A13" s="64" t="s">
        <v>143</v>
      </c>
      <c r="B13" s="64" t="s">
        <v>141</v>
      </c>
      <c r="C13" s="64" t="s">
        <v>8</v>
      </c>
      <c r="D13" s="64">
        <v>12180</v>
      </c>
    </row>
    <row r="14" spans="1:4">
      <c r="A14" s="64" t="s">
        <v>143</v>
      </c>
      <c r="B14" s="64" t="s">
        <v>141</v>
      </c>
      <c r="C14" s="64" t="s">
        <v>87</v>
      </c>
      <c r="D14" s="64">
        <v>2118</v>
      </c>
    </row>
    <row r="15" spans="1:4">
      <c r="A15" s="64" t="s">
        <v>143</v>
      </c>
      <c r="B15" s="64" t="s">
        <v>141</v>
      </c>
      <c r="C15" s="64" t="s">
        <v>13</v>
      </c>
      <c r="D15" s="64">
        <v>5029</v>
      </c>
    </row>
    <row r="16" spans="1:4">
      <c r="A16" s="64" t="s">
        <v>143</v>
      </c>
      <c r="B16" s="64" t="s">
        <v>141</v>
      </c>
      <c r="C16" s="64" t="s">
        <v>11</v>
      </c>
      <c r="D16" s="64">
        <v>8193</v>
      </c>
    </row>
    <row r="17" spans="1:6">
      <c r="A17" s="64" t="s">
        <v>143</v>
      </c>
      <c r="B17" s="64" t="s">
        <v>141</v>
      </c>
      <c r="C17" s="64" t="s">
        <v>142</v>
      </c>
      <c r="D17" s="64">
        <v>10776</v>
      </c>
      <c r="E17" s="64"/>
      <c r="F17" s="64"/>
    </row>
    <row r="18" spans="1:6">
      <c r="A18" s="64" t="s">
        <v>144</v>
      </c>
      <c r="B18" s="64" t="s">
        <v>141</v>
      </c>
      <c r="C18" s="64" t="s">
        <v>84</v>
      </c>
      <c r="D18" s="64">
        <v>36190</v>
      </c>
      <c r="E18" s="64"/>
      <c r="F18" s="64"/>
    </row>
    <row r="19" spans="1:6">
      <c r="A19" s="64" t="s">
        <v>144</v>
      </c>
      <c r="B19" s="64" t="s">
        <v>141</v>
      </c>
      <c r="C19" s="64" t="s">
        <v>8</v>
      </c>
      <c r="D19" s="64">
        <v>12180</v>
      </c>
      <c r="E19" s="64"/>
      <c r="F19" s="64"/>
    </row>
    <row r="20" spans="1:6">
      <c r="A20" s="64" t="s">
        <v>144</v>
      </c>
      <c r="B20" s="64" t="s">
        <v>141</v>
      </c>
      <c r="C20" s="64" t="s">
        <v>87</v>
      </c>
      <c r="D20" s="64">
        <v>2118</v>
      </c>
      <c r="E20" s="64"/>
      <c r="F20" s="64"/>
    </row>
    <row r="21" spans="1:6">
      <c r="A21" s="64" t="s">
        <v>144</v>
      </c>
      <c r="B21" s="64" t="s">
        <v>141</v>
      </c>
      <c r="C21" s="64" t="s">
        <v>13</v>
      </c>
      <c r="D21" s="64">
        <v>2682</v>
      </c>
      <c r="E21" s="64"/>
      <c r="F21" s="64"/>
    </row>
    <row r="22" spans="1:6">
      <c r="A22" s="64" t="s">
        <v>144</v>
      </c>
      <c r="B22" s="64" t="s">
        <v>141</v>
      </c>
      <c r="C22" s="64" t="s">
        <v>11</v>
      </c>
      <c r="D22" s="64">
        <v>8435</v>
      </c>
      <c r="E22" s="64"/>
      <c r="F22" s="64"/>
    </row>
    <row r="23" spans="1:6">
      <c r="A23" s="64" t="s">
        <v>144</v>
      </c>
      <c r="B23" s="64" t="s">
        <v>141</v>
      </c>
      <c r="C23" s="64" t="s">
        <v>142</v>
      </c>
      <c r="D23" s="64">
        <v>10776</v>
      </c>
      <c r="E23" s="64"/>
      <c r="F23" s="64"/>
    </row>
    <row r="24" spans="1:6">
      <c r="A24" s="64" t="s">
        <v>83</v>
      </c>
      <c r="B24" s="64" t="s">
        <v>141</v>
      </c>
      <c r="C24" s="64" t="s">
        <v>84</v>
      </c>
      <c r="D24" s="64">
        <v>36879</v>
      </c>
      <c r="E24" s="64"/>
      <c r="F24" s="64"/>
    </row>
    <row r="25" spans="1:6">
      <c r="A25" s="64" t="s">
        <v>83</v>
      </c>
      <c r="B25" s="64" t="s">
        <v>141</v>
      </c>
      <c r="C25" s="64" t="s">
        <v>8</v>
      </c>
      <c r="D25" s="64">
        <v>11302</v>
      </c>
      <c r="E25" s="64"/>
      <c r="F25" s="64"/>
    </row>
    <row r="26" spans="1:6">
      <c r="A26" s="64" t="s">
        <v>83</v>
      </c>
      <c r="B26" s="64" t="s">
        <v>141</v>
      </c>
      <c r="C26" s="64" t="s">
        <v>87</v>
      </c>
      <c r="D26" s="64">
        <v>2118</v>
      </c>
      <c r="E26" s="64"/>
      <c r="F26" s="64"/>
    </row>
    <row r="27" spans="1:6">
      <c r="A27" s="64" t="s">
        <v>83</v>
      </c>
      <c r="B27" s="64" t="s">
        <v>141</v>
      </c>
      <c r="C27" s="64" t="s">
        <v>13</v>
      </c>
      <c r="D27" s="64">
        <v>2853</v>
      </c>
      <c r="E27" s="64"/>
      <c r="F27" s="64"/>
    </row>
    <row r="28" spans="1:6">
      <c r="A28" s="64" t="s">
        <v>83</v>
      </c>
      <c r="B28" s="64" t="s">
        <v>141</v>
      </c>
      <c r="C28" s="64" t="s">
        <v>11</v>
      </c>
      <c r="D28" s="64">
        <v>10492</v>
      </c>
      <c r="E28" s="64"/>
      <c r="F28" s="64"/>
    </row>
    <row r="29" spans="1:6">
      <c r="A29" s="64" t="s">
        <v>83</v>
      </c>
      <c r="B29" s="64" t="s">
        <v>141</v>
      </c>
      <c r="C29" s="64" t="s">
        <v>142</v>
      </c>
      <c r="D29" s="64">
        <v>10114</v>
      </c>
      <c r="E29" s="64">
        <f>D29/(D25+D26)</f>
        <v>0.7536512667660209</v>
      </c>
      <c r="F29" s="70"/>
    </row>
    <row r="30" spans="1:6">
      <c r="A30" s="64" t="s">
        <v>145</v>
      </c>
      <c r="B30" s="64" t="s">
        <v>141</v>
      </c>
      <c r="C30" s="64" t="s">
        <v>84</v>
      </c>
      <c r="D30" s="64">
        <v>34552</v>
      </c>
      <c r="E30" s="64"/>
      <c r="F30" s="64"/>
    </row>
    <row r="31" spans="1:6">
      <c r="A31" s="64" t="s">
        <v>145</v>
      </c>
      <c r="B31" s="64" t="s">
        <v>141</v>
      </c>
      <c r="C31" s="64" t="s">
        <v>8</v>
      </c>
      <c r="D31" s="64">
        <v>11800</v>
      </c>
      <c r="E31" s="64"/>
      <c r="F31" s="64"/>
    </row>
    <row r="32" spans="1:6">
      <c r="A32" s="64" t="s">
        <v>145</v>
      </c>
      <c r="B32" s="64" t="s">
        <v>141</v>
      </c>
      <c r="C32" s="64" t="s">
        <v>87</v>
      </c>
      <c r="D32" s="64">
        <v>2118</v>
      </c>
      <c r="E32" s="64"/>
      <c r="F32" s="64"/>
    </row>
    <row r="33" spans="1:4">
      <c r="A33" s="64" t="s">
        <v>145</v>
      </c>
      <c r="B33" s="64" t="s">
        <v>141</v>
      </c>
      <c r="C33" s="64" t="s">
        <v>13</v>
      </c>
      <c r="D33" s="64">
        <v>2025</v>
      </c>
    </row>
    <row r="34" spans="1:4">
      <c r="A34" s="64" t="s">
        <v>145</v>
      </c>
      <c r="B34" s="64" t="s">
        <v>141</v>
      </c>
      <c r="C34" s="64" t="s">
        <v>11</v>
      </c>
      <c r="D34" s="64">
        <v>8119</v>
      </c>
    </row>
    <row r="35" spans="1:4">
      <c r="A35" s="64" t="s">
        <v>145</v>
      </c>
      <c r="B35" s="64" t="s">
        <v>141</v>
      </c>
      <c r="C35" s="64" t="s">
        <v>142</v>
      </c>
      <c r="D35" s="64">
        <v>10490</v>
      </c>
    </row>
    <row r="36" spans="1:4">
      <c r="A36" s="64" t="s">
        <v>101</v>
      </c>
      <c r="B36" s="64"/>
      <c r="C36" s="64"/>
      <c r="D36" s="64"/>
    </row>
    <row r="37" spans="1:4">
      <c r="A37" s="64">
        <v>1</v>
      </c>
      <c r="B37" s="64" t="s">
        <v>146</v>
      </c>
      <c r="C37" s="64"/>
      <c r="D37" s="64"/>
    </row>
    <row r="38" spans="1:4">
      <c r="A38" s="64">
        <v>2</v>
      </c>
      <c r="B38" s="67" t="s">
        <v>147</v>
      </c>
      <c r="C38" s="64"/>
      <c r="D38" s="64"/>
    </row>
    <row r="39" spans="1:4">
      <c r="A39" s="64">
        <v>3</v>
      </c>
      <c r="B39" s="67" t="s">
        <v>148</v>
      </c>
      <c r="C39" s="64"/>
      <c r="D39" s="64"/>
    </row>
    <row r="40" spans="1:4">
      <c r="A40" s="64" t="s">
        <v>119</v>
      </c>
      <c r="B40" s="64"/>
      <c r="C40" s="64"/>
      <c r="D40" s="64"/>
    </row>
    <row r="41" spans="1:4">
      <c r="A41" s="64" t="s">
        <v>149</v>
      </c>
      <c r="B41" s="64"/>
      <c r="C41" s="64"/>
      <c r="D41" s="64"/>
    </row>
    <row r="42" spans="1:4">
      <c r="A42" s="64" t="s">
        <v>150</v>
      </c>
      <c r="B42" s="64"/>
      <c r="C42" s="64"/>
      <c r="D42" s="64"/>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P68"/>
  <sheetViews>
    <sheetView topLeftCell="A7" zoomScale="87" zoomScaleNormal="87" zoomScalePageLayoutView="87" workbookViewId="0">
      <selection activeCell="B10" sqref="B10"/>
    </sheetView>
  </sheetViews>
  <sheetFormatPr defaultColWidth="8.85546875" defaultRowHeight="15"/>
  <cols>
    <col min="1" max="1" width="23.85546875" customWidth="1"/>
    <col min="2" max="2" width="13.42578125" customWidth="1"/>
    <col min="3" max="3" width="11.85546875" customWidth="1"/>
    <col min="4" max="4" width="12" customWidth="1"/>
    <col min="5" max="5" width="28.42578125" customWidth="1"/>
    <col min="6" max="6" width="20.42578125" customWidth="1"/>
    <col min="7" max="7" width="15.140625" customWidth="1"/>
    <col min="8" max="8" width="13.42578125" customWidth="1"/>
    <col min="9" max="9" width="22.140625" bestFit="1" customWidth="1"/>
    <col min="10" max="10" width="11.85546875" customWidth="1"/>
    <col min="11" max="11" width="13.28515625" customWidth="1"/>
    <col min="12" max="12" width="19.140625" customWidth="1"/>
    <col min="13" max="13" width="11" customWidth="1"/>
    <col min="14" max="14" width="11.140625" customWidth="1"/>
    <col min="15" max="15" width="14.42578125" customWidth="1"/>
    <col min="16" max="16" width="10.42578125" customWidth="1"/>
    <col min="17" max="17" width="13.140625" customWidth="1"/>
    <col min="18" max="18" width="12" bestFit="1" customWidth="1"/>
    <col min="19" max="19" width="10.42578125" customWidth="1"/>
  </cols>
  <sheetData>
    <row r="1" spans="1:16" ht="21">
      <c r="A1" s="149" t="s">
        <v>0</v>
      </c>
      <c r="B1" s="149"/>
      <c r="C1" s="149"/>
      <c r="D1" s="149"/>
      <c r="E1" s="149"/>
      <c r="F1" s="149"/>
      <c r="G1" s="149"/>
      <c r="H1" s="63"/>
      <c r="I1" s="63"/>
      <c r="J1" s="1"/>
      <c r="K1" s="1"/>
      <c r="L1" s="1"/>
      <c r="M1" s="1"/>
      <c r="N1" s="1"/>
      <c r="O1" s="1"/>
      <c r="P1" s="64"/>
    </row>
    <row r="2" spans="1:16" ht="17.25">
      <c r="A2" s="150"/>
      <c r="B2" s="150"/>
      <c r="C2" s="1"/>
      <c r="D2" s="1"/>
      <c r="E2" s="1"/>
      <c r="F2" s="64"/>
      <c r="G2" s="64"/>
      <c r="H2" s="1"/>
      <c r="I2" s="1"/>
      <c r="J2" s="1"/>
      <c r="K2" s="1"/>
      <c r="L2" s="1"/>
      <c r="M2" s="1"/>
      <c r="N2" s="1"/>
      <c r="O2" s="1"/>
      <c r="P2" s="64"/>
    </row>
    <row r="3" spans="1:16">
      <c r="A3" s="64"/>
      <c r="B3" s="2"/>
      <c r="C3" s="5"/>
      <c r="D3" s="1"/>
      <c r="E3" s="6"/>
      <c r="F3" s="64"/>
      <c r="G3" s="64"/>
      <c r="H3" s="6"/>
      <c r="I3" s="7"/>
      <c r="J3" s="1"/>
      <c r="K3" s="8"/>
      <c r="L3" s="5"/>
      <c r="M3" s="5"/>
      <c r="N3" s="5"/>
      <c r="O3" s="5"/>
      <c r="P3" s="64"/>
    </row>
    <row r="4" spans="1:16">
      <c r="A4" s="9" t="s">
        <v>1</v>
      </c>
      <c r="B4" s="13"/>
      <c r="C4" s="9"/>
      <c r="D4" s="12"/>
      <c r="E4" s="6"/>
      <c r="F4" s="64"/>
      <c r="G4" s="64"/>
      <c r="H4" s="6"/>
      <c r="I4" s="64"/>
      <c r="J4" s="64"/>
      <c r="K4" s="64"/>
      <c r="L4" s="64"/>
      <c r="M4" s="64"/>
      <c r="N4" s="64"/>
      <c r="O4" s="5"/>
      <c r="P4" s="64"/>
    </row>
    <row r="5" spans="1:16">
      <c r="A5" s="105" t="s">
        <v>3</v>
      </c>
      <c r="B5" s="106" t="s">
        <v>4</v>
      </c>
      <c r="C5" s="107" t="s">
        <v>5</v>
      </c>
      <c r="D5" s="108" t="s">
        <v>6</v>
      </c>
      <c r="E5" s="10"/>
      <c r="F5" s="64"/>
      <c r="G5" s="64"/>
      <c r="H5" s="11"/>
      <c r="I5" s="64"/>
      <c r="J5" s="64"/>
      <c r="K5" s="64"/>
      <c r="L5" s="64"/>
      <c r="M5" s="64"/>
      <c r="N5" s="64"/>
      <c r="O5" s="64"/>
      <c r="P5" s="64"/>
    </row>
    <row r="6" spans="1:16">
      <c r="A6" s="101" t="s">
        <v>8</v>
      </c>
      <c r="B6" s="54">
        <f>'Family Expenses'!B46</f>
        <v>848.36604420870265</v>
      </c>
      <c r="C6" s="38">
        <f>B6*12</f>
        <v>10180.392530504432</v>
      </c>
      <c r="D6" s="103">
        <f>C6/C17</f>
        <v>0.15722858798527492</v>
      </c>
      <c r="E6" s="14"/>
      <c r="F6" s="139"/>
      <c r="G6" s="64"/>
      <c r="H6" s="11"/>
      <c r="I6" s="64"/>
      <c r="J6" s="64"/>
      <c r="K6" s="64"/>
      <c r="L6" s="64"/>
      <c r="M6" s="64"/>
      <c r="N6" s="64"/>
      <c r="O6" s="64"/>
      <c r="P6" s="53"/>
    </row>
    <row r="7" spans="1:16">
      <c r="A7" s="102" t="s">
        <v>10</v>
      </c>
      <c r="B7" s="38">
        <f>$C7/12</f>
        <v>179.73500000000001</v>
      </c>
      <c r="C7" s="68">
        <v>2156.8200000000002</v>
      </c>
      <c r="D7" s="103">
        <f>C7/C17</f>
        <v>3.3310480133480452E-2</v>
      </c>
      <c r="E7" s="14"/>
      <c r="F7" s="53"/>
      <c r="G7" s="64"/>
      <c r="H7" s="11"/>
      <c r="I7" s="64"/>
      <c r="J7" s="64"/>
      <c r="K7" s="64"/>
      <c r="L7" s="64"/>
      <c r="M7" s="64"/>
      <c r="N7" s="64"/>
      <c r="O7" s="64"/>
      <c r="P7" s="53"/>
    </row>
    <row r="8" spans="1:16">
      <c r="A8" s="101" t="s">
        <v>11</v>
      </c>
      <c r="B8" s="38">
        <f>'Family Expenses'!B6</f>
        <v>1260</v>
      </c>
      <c r="C8" s="38">
        <f>B8*12</f>
        <v>15120</v>
      </c>
      <c r="D8" s="103">
        <f>C8/C17</f>
        <v>0.2335171500719691</v>
      </c>
      <c r="E8" s="19"/>
      <c r="F8" s="59"/>
      <c r="G8" s="64"/>
      <c r="H8" s="11"/>
      <c r="I8" s="64"/>
      <c r="J8" s="64"/>
      <c r="K8" s="64"/>
      <c r="L8" s="64"/>
      <c r="M8" s="64"/>
      <c r="N8" s="64"/>
      <c r="O8" s="64"/>
      <c r="P8" s="64"/>
    </row>
    <row r="9" spans="1:16">
      <c r="A9" s="101" t="s">
        <v>12</v>
      </c>
      <c r="B9" s="38">
        <f>'Family Expenses'!B14</f>
        <v>179.70704999999998</v>
      </c>
      <c r="C9" s="38">
        <f>B9*12</f>
        <v>2156.4845999999998</v>
      </c>
      <c r="D9" s="103">
        <f>C9/C17</f>
        <v>3.3305300130032425E-2</v>
      </c>
      <c r="E9" s="20"/>
      <c r="F9" s="64"/>
      <c r="G9" s="64"/>
      <c r="H9" s="11"/>
      <c r="I9" s="64"/>
      <c r="J9" s="64"/>
      <c r="K9" s="64"/>
      <c r="L9" s="64"/>
      <c r="M9" s="64"/>
      <c r="N9" s="64"/>
      <c r="O9" s="64"/>
      <c r="P9" s="64"/>
    </row>
    <row r="10" spans="1:16">
      <c r="A10" s="101" t="s">
        <v>13</v>
      </c>
      <c r="B10" s="38">
        <f>C10/12</f>
        <v>459.48746701846972</v>
      </c>
      <c r="C10" s="38">
        <f>'Family Expenses'!B23</f>
        <v>5513.8496042216366</v>
      </c>
      <c r="D10" s="103">
        <f>C10/C17</f>
        <v>8.5157304596778532E-2</v>
      </c>
      <c r="E10" s="22"/>
      <c r="F10" s="64"/>
      <c r="G10" s="64"/>
      <c r="H10" s="2"/>
      <c r="I10" s="64"/>
      <c r="J10" s="64"/>
      <c r="K10" s="64"/>
      <c r="L10" s="64"/>
      <c r="M10" s="64"/>
      <c r="N10" s="64"/>
      <c r="O10" s="64"/>
      <c r="P10" s="64"/>
    </row>
    <row r="11" spans="1:16">
      <c r="A11" s="101" t="s">
        <v>14</v>
      </c>
      <c r="B11" s="38">
        <f>C11/12</f>
        <v>1235</v>
      </c>
      <c r="C11" s="38">
        <f>'Family Expenses'!B36</f>
        <v>14820</v>
      </c>
      <c r="D11" s="103">
        <f>C11/C17</f>
        <v>0.22888387328482687</v>
      </c>
      <c r="E11" s="23"/>
      <c r="F11" s="64"/>
      <c r="G11" s="64"/>
      <c r="H11" s="2"/>
      <c r="I11" s="64"/>
      <c r="J11" s="64"/>
      <c r="K11" s="64"/>
      <c r="L11" s="64"/>
      <c r="M11" s="64"/>
      <c r="N11" s="64"/>
      <c r="O11" s="64"/>
      <c r="P11" s="64"/>
    </row>
    <row r="12" spans="1:16">
      <c r="A12" s="101" t="s">
        <v>15</v>
      </c>
      <c r="B12" s="38">
        <f>164.81</f>
        <v>164.81</v>
      </c>
      <c r="C12" s="38">
        <f>B12*12</f>
        <v>1977.72</v>
      </c>
      <c r="D12" s="103">
        <f>C12/C17</f>
        <v>3.0544413891556529E-2</v>
      </c>
      <c r="E12" s="23"/>
      <c r="F12" s="64"/>
      <c r="G12" s="64"/>
      <c r="H12" s="2"/>
      <c r="I12" s="64"/>
      <c r="J12" s="64"/>
      <c r="K12" s="64"/>
      <c r="L12" s="64"/>
      <c r="M12" s="64"/>
      <c r="N12" s="64"/>
      <c r="O12" s="64"/>
      <c r="P12" s="64"/>
    </row>
    <row r="13" spans="1:16">
      <c r="A13" s="101" t="s">
        <v>16</v>
      </c>
      <c r="B13" s="38">
        <f>C13/12</f>
        <v>223.65</v>
      </c>
      <c r="C13" s="38">
        <f>(C41*C42)*2+(B41*B42)*2</f>
        <v>2683.8</v>
      </c>
      <c r="D13" s="103">
        <f>C13/C17</f>
        <v>4.1449294137774519E-2</v>
      </c>
      <c r="E13" s="140"/>
      <c r="F13" s="64"/>
      <c r="G13" s="64"/>
      <c r="H13" s="1"/>
      <c r="I13" s="64"/>
      <c r="J13" s="64"/>
      <c r="K13" s="64"/>
      <c r="L13" s="64"/>
      <c r="M13" s="64"/>
      <c r="N13" s="64"/>
      <c r="O13" s="64"/>
      <c r="P13" s="64"/>
    </row>
    <row r="14" spans="1:16">
      <c r="A14" s="101" t="s">
        <v>17</v>
      </c>
      <c r="B14" s="38">
        <f>C14/12</f>
        <v>69.805555555555557</v>
      </c>
      <c r="C14" s="38">
        <f>'Family Expenses'!B28</f>
        <v>837.66666666666663</v>
      </c>
      <c r="D14" s="103">
        <f>C14/C17</f>
        <v>1.2937138406764954E-2</v>
      </c>
      <c r="E14" s="10"/>
      <c r="F14" s="53"/>
      <c r="G14" s="64"/>
      <c r="H14" s="2"/>
      <c r="I14" s="64"/>
      <c r="J14" s="64"/>
      <c r="K14" s="64"/>
      <c r="L14" s="64"/>
      <c r="M14" s="64"/>
      <c r="N14" s="64"/>
      <c r="O14" s="64"/>
      <c r="P14" s="64"/>
    </row>
    <row r="15" spans="1:16">
      <c r="A15" s="101" t="s">
        <v>18</v>
      </c>
      <c r="B15" s="38">
        <f>C15/12</f>
        <v>387.59409366668092</v>
      </c>
      <c r="C15" s="38">
        <f>'Family Expenses'!B17</f>
        <v>4651.129124000171</v>
      </c>
      <c r="D15" s="104">
        <f>C15/C17</f>
        <v>7.1833228680770772E-2</v>
      </c>
      <c r="E15" s="14"/>
      <c r="F15" s="64"/>
      <c r="G15" s="64"/>
      <c r="H15" s="4"/>
      <c r="I15" s="64"/>
      <c r="J15" s="64"/>
      <c r="K15" s="64"/>
      <c r="L15" s="64"/>
      <c r="M15" s="64"/>
      <c r="N15" s="64"/>
      <c r="O15" s="64"/>
      <c r="P15" s="64"/>
    </row>
    <row r="16" spans="1:16">
      <c r="A16" s="101" t="s">
        <v>19</v>
      </c>
      <c r="B16" s="38">
        <f>C16/12</f>
        <v>387.59409366668092</v>
      </c>
      <c r="C16" s="55">
        <f>C15</f>
        <v>4651.129124000171</v>
      </c>
      <c r="D16" s="103">
        <f>C16/C17</f>
        <v>7.1833228680770772E-2</v>
      </c>
      <c r="E16" s="14"/>
      <c r="F16" s="64"/>
      <c r="G16" s="64"/>
      <c r="H16" s="4"/>
      <c r="I16" s="64"/>
      <c r="J16" s="64"/>
      <c r="K16" s="64"/>
      <c r="L16" s="64"/>
      <c r="M16" s="64"/>
      <c r="N16" s="64"/>
      <c r="O16" s="64"/>
      <c r="P16" s="64"/>
    </row>
    <row r="17" spans="1:13">
      <c r="A17" s="109" t="s">
        <v>20</v>
      </c>
      <c r="B17" s="110">
        <f>SUM(B6:B16)</f>
        <v>5395.7493041160906</v>
      </c>
      <c r="C17" s="110">
        <f>SUM(C6:C16)</f>
        <v>64748.991649393087</v>
      </c>
      <c r="D17" s="111">
        <f>C17/C17</f>
        <v>1</v>
      </c>
      <c r="E17" s="14"/>
      <c r="F17" s="64"/>
      <c r="G17" s="64"/>
      <c r="H17" s="25"/>
      <c r="I17" s="64"/>
      <c r="J17" s="64"/>
      <c r="K17" s="64"/>
      <c r="L17" s="64"/>
      <c r="M17" s="64"/>
    </row>
    <row r="18" spans="1:13">
      <c r="A18" s="6"/>
      <c r="B18" s="25"/>
      <c r="C18" s="25"/>
      <c r="D18" s="25"/>
      <c r="E18" s="14"/>
      <c r="F18" s="64"/>
      <c r="G18" s="64"/>
      <c r="H18" s="26"/>
      <c r="I18" s="64"/>
      <c r="J18" s="64"/>
      <c r="K18" s="64"/>
      <c r="L18" s="64"/>
      <c r="M18" s="64"/>
    </row>
    <row r="19" spans="1:13" ht="17.25">
      <c r="A19" s="151" t="s">
        <v>21</v>
      </c>
      <c r="B19" s="151"/>
      <c r="C19" s="151"/>
      <c r="D19" s="151"/>
      <c r="E19" s="90" t="s">
        <v>151</v>
      </c>
      <c r="F19" s="91"/>
      <c r="G19" s="64"/>
      <c r="H19" s="92"/>
      <c r="I19" s="64"/>
      <c r="J19" s="64"/>
      <c r="K19" s="64"/>
      <c r="L19" s="64"/>
      <c r="M19" s="64"/>
    </row>
    <row r="20" spans="1:13">
      <c r="A20" s="1"/>
      <c r="B20" s="2"/>
      <c r="C20" s="5"/>
      <c r="D20" s="1"/>
      <c r="E20" s="64"/>
      <c r="F20" s="91"/>
      <c r="G20" s="64"/>
      <c r="H20" s="92"/>
      <c r="I20" s="64"/>
      <c r="J20" s="24"/>
      <c r="K20" s="64"/>
      <c r="L20" s="64"/>
      <c r="M20" s="50"/>
    </row>
    <row r="21" spans="1:13" s="64" customFormat="1">
      <c r="A21" s="1"/>
      <c r="B21" s="2"/>
      <c r="C21" s="5"/>
      <c r="D21" s="1"/>
      <c r="E21" s="64" t="s">
        <v>152</v>
      </c>
      <c r="F21" s="91" t="s">
        <v>50</v>
      </c>
      <c r="G21" s="64" t="s">
        <v>51</v>
      </c>
      <c r="H21" s="99" t="s">
        <v>20</v>
      </c>
      <c r="J21" s="24"/>
      <c r="M21" s="50"/>
    </row>
    <row r="22" spans="1:13">
      <c r="A22" s="113" t="s">
        <v>24</v>
      </c>
      <c r="B22" s="106" t="s">
        <v>4</v>
      </c>
      <c r="C22" s="108" t="s">
        <v>5</v>
      </c>
      <c r="D22" s="7"/>
      <c r="E22" s="93" t="s">
        <v>54</v>
      </c>
      <c r="F22" s="94">
        <v>36582</v>
      </c>
      <c r="G22" s="95">
        <v>36582</v>
      </c>
      <c r="H22" s="94">
        <v>73164</v>
      </c>
      <c r="I22" s="64"/>
      <c r="J22" s="24"/>
      <c r="K22" s="64"/>
      <c r="L22" s="64"/>
      <c r="M22" s="64"/>
    </row>
    <row r="23" spans="1:13">
      <c r="A23" s="101" t="s">
        <v>26</v>
      </c>
      <c r="B23" s="38">
        <f>C23/6</f>
        <v>186.95666666666668</v>
      </c>
      <c r="C23" s="112">
        <f>I35/2</f>
        <v>1121.74</v>
      </c>
      <c r="D23" s="14"/>
      <c r="E23" s="96" t="s">
        <v>153</v>
      </c>
      <c r="F23" s="97">
        <v>1200</v>
      </c>
      <c r="G23" s="95"/>
      <c r="H23" s="97">
        <v>1200</v>
      </c>
      <c r="I23" s="64"/>
      <c r="J23" s="24"/>
      <c r="K23" s="64"/>
      <c r="L23" s="64"/>
      <c r="M23" s="64"/>
    </row>
    <row r="24" spans="1:13" s="64" customFormat="1">
      <c r="A24" s="101"/>
      <c r="B24" s="38"/>
      <c r="C24" s="112"/>
      <c r="D24" s="14"/>
      <c r="E24" s="96" t="s">
        <v>154</v>
      </c>
      <c r="F24" s="97">
        <v>11000</v>
      </c>
      <c r="G24" s="95"/>
      <c r="H24" s="97"/>
      <c r="J24" s="24"/>
    </row>
    <row r="25" spans="1:13">
      <c r="A25" s="101" t="s">
        <v>31</v>
      </c>
      <c r="B25" s="38">
        <v>0</v>
      </c>
      <c r="C25" s="112">
        <f>B25*12</f>
        <v>0</v>
      </c>
      <c r="D25" s="14"/>
      <c r="E25" s="96" t="s">
        <v>55</v>
      </c>
      <c r="F25" s="98">
        <f>F23-F24</f>
        <v>-9800</v>
      </c>
      <c r="G25" s="97"/>
      <c r="H25" s="97"/>
      <c r="I25" s="64"/>
      <c r="J25" s="24"/>
      <c r="K25" s="64"/>
      <c r="L25" s="64"/>
      <c r="M25" s="64"/>
    </row>
    <row r="26" spans="1:13">
      <c r="A26" s="101" t="s">
        <v>34</v>
      </c>
      <c r="B26" s="38">
        <f>160+60</f>
        <v>220</v>
      </c>
      <c r="C26" s="112">
        <f>B26*6</f>
        <v>1320</v>
      </c>
      <c r="D26" s="14"/>
      <c r="E26" s="96" t="s">
        <v>56</v>
      </c>
      <c r="F26" s="97">
        <f>F22+F25</f>
        <v>26782</v>
      </c>
      <c r="G26" s="97">
        <v>36582</v>
      </c>
      <c r="H26" s="97">
        <f>Table2[[#This Row],[Parent 1]]+Table2[[#This Row],[Parent 2]]</f>
        <v>63364</v>
      </c>
      <c r="I26" s="64"/>
      <c r="J26" s="24"/>
      <c r="K26" s="64"/>
      <c r="L26" s="64"/>
      <c r="M26" s="64"/>
    </row>
    <row r="27" spans="1:13">
      <c r="A27" s="101" t="s">
        <v>35</v>
      </c>
      <c r="B27" s="38">
        <f>C27/6</f>
        <v>621.48833333333334</v>
      </c>
      <c r="C27" s="112">
        <f>G35/2</f>
        <v>3728.93</v>
      </c>
      <c r="D27" s="14"/>
      <c r="E27" s="96" t="s">
        <v>57</v>
      </c>
      <c r="F27" s="97">
        <v>687.74160000000006</v>
      </c>
      <c r="G27" s="97">
        <v>687.74160000000006</v>
      </c>
      <c r="H27" s="97">
        <v>1375.4832000000001</v>
      </c>
      <c r="I27" s="64"/>
      <c r="J27" s="24"/>
      <c r="K27" s="64"/>
      <c r="L27" s="64"/>
      <c r="M27" s="64"/>
    </row>
    <row r="28" spans="1:13">
      <c r="A28" s="101" t="s">
        <v>36</v>
      </c>
      <c r="B28" s="38">
        <v>0</v>
      </c>
      <c r="C28" s="112">
        <v>0</v>
      </c>
      <c r="D28" s="29"/>
      <c r="E28" s="96" t="s">
        <v>58</v>
      </c>
      <c r="F28" s="97">
        <v>1637.559</v>
      </c>
      <c r="G28" s="95">
        <v>1637.559</v>
      </c>
      <c r="H28" s="97">
        <v>3275.1179999999999</v>
      </c>
      <c r="I28" s="64"/>
      <c r="J28" s="24"/>
      <c r="K28" s="64"/>
      <c r="L28" s="64"/>
      <c r="M28" s="64"/>
    </row>
    <row r="29" spans="1:13">
      <c r="A29" s="101" t="s">
        <v>38</v>
      </c>
      <c r="B29" s="38">
        <v>0</v>
      </c>
      <c r="C29" s="112">
        <v>0</v>
      </c>
      <c r="D29" s="29"/>
      <c r="E29" s="96" t="s">
        <v>59</v>
      </c>
      <c r="F29" s="97">
        <v>1485.5937850000009</v>
      </c>
      <c r="G29" s="97">
        <v>2192.9549100000004</v>
      </c>
      <c r="H29" s="97">
        <v>3678.5486950000013</v>
      </c>
      <c r="I29" s="64"/>
      <c r="J29" s="1"/>
      <c r="K29" s="64"/>
      <c r="L29" s="64"/>
      <c r="M29" s="64"/>
    </row>
    <row r="30" spans="1:13">
      <c r="A30" s="64"/>
      <c r="B30" s="64"/>
      <c r="C30" s="64"/>
      <c r="D30" s="1"/>
      <c r="E30" s="96" t="s">
        <v>60</v>
      </c>
      <c r="F30" s="97">
        <v>1097.6915580100006</v>
      </c>
      <c r="G30" s="94">
        <v>3465.52410603</v>
      </c>
      <c r="H30" s="97">
        <v>4563.2156640400008</v>
      </c>
      <c r="I30" s="64"/>
      <c r="J30" s="1"/>
      <c r="K30" s="64"/>
      <c r="L30" s="64"/>
      <c r="M30" s="64"/>
    </row>
    <row r="31" spans="1:13">
      <c r="A31" s="109" t="s">
        <v>20</v>
      </c>
      <c r="B31" s="110">
        <f>SUM(B23:B29)</f>
        <v>1028.4450000000002</v>
      </c>
      <c r="C31" s="114">
        <f>SUM(C23:C29)</f>
        <v>6170.67</v>
      </c>
      <c r="D31" s="1"/>
      <c r="E31" s="96" t="s">
        <v>61</v>
      </c>
      <c r="F31" s="97">
        <v>0</v>
      </c>
      <c r="G31" s="97">
        <v>0</v>
      </c>
      <c r="H31" s="97">
        <v>0</v>
      </c>
      <c r="I31" s="64"/>
      <c r="J31" s="8"/>
      <c r="K31" s="64"/>
      <c r="L31" s="64"/>
      <c r="M31" s="64"/>
    </row>
    <row r="32" spans="1:13" ht="17.25">
      <c r="A32" s="6"/>
      <c r="B32" s="25"/>
      <c r="C32" s="25"/>
      <c r="D32" s="40"/>
      <c r="E32" s="96" t="s">
        <v>62</v>
      </c>
      <c r="F32" s="97">
        <v>31673.414056989997</v>
      </c>
      <c r="G32" s="97">
        <v>28598.220383970001</v>
      </c>
      <c r="H32" s="97">
        <v>60271.634440959999</v>
      </c>
      <c r="I32" s="64"/>
      <c r="J32" s="1"/>
      <c r="K32" s="64"/>
      <c r="L32" s="64"/>
      <c r="M32" s="64"/>
    </row>
    <row r="33" spans="1:15" ht="17.25">
      <c r="A33" s="40" t="s">
        <v>42</v>
      </c>
      <c r="B33" s="40"/>
      <c r="C33" s="40"/>
      <c r="D33" s="1"/>
      <c r="E33" s="64"/>
      <c r="F33" s="64"/>
      <c r="G33" s="64"/>
      <c r="H33" s="64"/>
      <c r="I33" s="64"/>
      <c r="J33" s="1"/>
      <c r="K33" s="64"/>
      <c r="L33" s="64"/>
      <c r="M33" s="64"/>
      <c r="N33" s="64"/>
      <c r="O33" s="64"/>
    </row>
    <row r="34" spans="1:15">
      <c r="A34" s="42"/>
      <c r="B34" s="66"/>
      <c r="C34" s="41" t="s">
        <v>5</v>
      </c>
      <c r="D34" s="8"/>
      <c r="E34" s="7"/>
      <c r="F34" s="65" t="s">
        <v>22</v>
      </c>
      <c r="G34" s="65"/>
      <c r="H34" s="65" t="s">
        <v>23</v>
      </c>
      <c r="I34" s="64"/>
      <c r="J34" s="64"/>
      <c r="K34" s="64"/>
      <c r="L34" s="64"/>
      <c r="M34" s="64"/>
      <c r="N34" s="64"/>
      <c r="O34" s="64"/>
    </row>
    <row r="35" spans="1:15">
      <c r="A35" s="141" t="s">
        <v>44</v>
      </c>
      <c r="B35" s="39"/>
      <c r="C35" s="21">
        <f>C31+D51</f>
        <v>64768.798066515999</v>
      </c>
      <c r="D35" s="1"/>
      <c r="E35" s="7"/>
      <c r="F35" s="64" t="s">
        <v>25</v>
      </c>
      <c r="G35" s="128">
        <f>IF((H26-H23)&lt;G36,(5400+6400),IF((H26-H23)&lt;G37,(5400+6400-(H26-H23-G36)*0.135),(5400+6400-(G37-G36)*0.135-(H26-H23-G37)*0.057)))</f>
        <v>7457.86</v>
      </c>
      <c r="H35" s="64" t="s">
        <v>25</v>
      </c>
      <c r="I35" s="129">
        <f>IF((H26-H23)&lt;I36,(1471*2+(2279+2016-(H26-H23-26021)*0.23)),(1471*2-(H26-H23-I36)*0.04))</f>
        <v>2243.48</v>
      </c>
      <c r="J35" s="64"/>
      <c r="K35" s="64"/>
      <c r="L35" s="64"/>
      <c r="M35" s="64"/>
      <c r="N35" s="64"/>
      <c r="O35" s="64"/>
    </row>
    <row r="36" spans="1:15">
      <c r="A36" s="141" t="s">
        <v>45</v>
      </c>
      <c r="B36" s="39"/>
      <c r="C36" s="21">
        <f>C17</f>
        <v>64748.991649393087</v>
      </c>
      <c r="D36" s="1"/>
      <c r="E36" s="6"/>
      <c r="F36" s="126" t="s">
        <v>27</v>
      </c>
      <c r="G36" s="133">
        <v>30000</v>
      </c>
      <c r="H36" s="127" t="s">
        <v>28</v>
      </c>
      <c r="I36" s="128">
        <v>44701</v>
      </c>
      <c r="J36" s="56"/>
      <c r="K36" s="64"/>
      <c r="L36" s="64"/>
      <c r="M36" s="64"/>
      <c r="N36" s="64"/>
      <c r="O36" s="64"/>
    </row>
    <row r="37" spans="1:15">
      <c r="A37" s="48" t="s">
        <v>47</v>
      </c>
      <c r="B37" s="49"/>
      <c r="C37" s="45">
        <f>C35-C36</f>
        <v>19.806417122912535</v>
      </c>
      <c r="D37" s="1"/>
      <c r="E37" s="6"/>
      <c r="F37" s="64" t="s">
        <v>29</v>
      </c>
      <c r="G37" s="128">
        <v>65000</v>
      </c>
      <c r="H37" s="127" t="s">
        <v>30</v>
      </c>
      <c r="I37" s="130">
        <f>(1471*2)/0.04+I36</f>
        <v>118251</v>
      </c>
      <c r="J37" s="64"/>
      <c r="K37" s="64"/>
      <c r="L37" s="64"/>
      <c r="M37" s="64"/>
      <c r="N37" s="64"/>
      <c r="O37" s="64"/>
    </row>
    <row r="38" spans="1:15">
      <c r="A38" s="6"/>
      <c r="B38" s="25"/>
      <c r="C38" s="25"/>
      <c r="D38" s="1"/>
      <c r="E38" s="1"/>
      <c r="F38" s="51" t="s">
        <v>32</v>
      </c>
      <c r="G38" s="128">
        <f>(6400+5400-(G37-G35)*0.135)/0.057+G37</f>
        <v>135733.52807017544</v>
      </c>
      <c r="H38" s="127" t="s">
        <v>33</v>
      </c>
      <c r="I38" s="131">
        <f>(2279+2016)/0.23+26021</f>
        <v>44694.913043478256</v>
      </c>
      <c r="J38" s="51"/>
      <c r="K38" s="64"/>
      <c r="L38" s="64"/>
      <c r="M38" s="64"/>
      <c r="N38" s="64"/>
      <c r="O38" s="64"/>
    </row>
    <row r="39" spans="1:15" ht="17.25">
      <c r="A39" s="40" t="s">
        <v>48</v>
      </c>
      <c r="B39" s="40"/>
      <c r="C39" s="40"/>
      <c r="D39" s="1"/>
      <c r="E39" s="1"/>
      <c r="F39" s="64"/>
      <c r="G39" s="64"/>
      <c r="H39" s="26"/>
      <c r="I39" s="1"/>
      <c r="J39" s="1"/>
      <c r="K39" s="64"/>
      <c r="L39" s="64"/>
      <c r="M39" s="64"/>
      <c r="N39" s="64"/>
      <c r="O39" s="64"/>
    </row>
    <row r="40" spans="1:15">
      <c r="A40" s="122" t="s">
        <v>49</v>
      </c>
      <c r="B40" s="106" t="s">
        <v>50</v>
      </c>
      <c r="C40" s="107" t="s">
        <v>51</v>
      </c>
      <c r="D40" s="108" t="s">
        <v>20</v>
      </c>
      <c r="E40" s="32"/>
      <c r="F40" s="64"/>
      <c r="G40" s="64"/>
      <c r="H40" s="25"/>
      <c r="I40" s="1"/>
      <c r="J40" s="24"/>
      <c r="K40" s="64"/>
      <c r="L40" s="64"/>
      <c r="M40" s="64"/>
      <c r="N40" s="64"/>
      <c r="O40" s="64"/>
    </row>
    <row r="41" spans="1:15">
      <c r="A41" s="115" t="s">
        <v>52</v>
      </c>
      <c r="B41" s="34">
        <v>35</v>
      </c>
      <c r="C41" s="15">
        <v>35</v>
      </c>
      <c r="D41" s="118">
        <f>B41+C41</f>
        <v>70</v>
      </c>
      <c r="E41" s="33"/>
      <c r="F41" s="152" t="s">
        <v>37</v>
      </c>
      <c r="G41" s="153"/>
      <c r="H41" s="1"/>
      <c r="I41" s="60" t="s">
        <v>2</v>
      </c>
      <c r="J41" s="1"/>
      <c r="K41" s="64"/>
      <c r="L41" s="64"/>
      <c r="M41" s="64"/>
      <c r="N41" s="64"/>
      <c r="O41" s="64"/>
    </row>
    <row r="42" spans="1:15">
      <c r="A42" s="100" t="s">
        <v>53</v>
      </c>
      <c r="B42" s="45">
        <v>19.170000000000002</v>
      </c>
      <c r="C42" s="47">
        <f>B42</f>
        <v>19.170000000000002</v>
      </c>
      <c r="D42" s="118"/>
      <c r="E42" s="32"/>
      <c r="F42" s="18" t="s">
        <v>39</v>
      </c>
      <c r="G42" s="16">
        <f>'Family Expenses'!B26*2</f>
        <v>806</v>
      </c>
      <c r="H42" s="1"/>
      <c r="I42" s="57">
        <v>8000</v>
      </c>
      <c r="J42" s="1"/>
      <c r="K42" s="64"/>
      <c r="L42" s="64"/>
      <c r="M42" s="64"/>
      <c r="N42" s="64"/>
      <c r="O42" s="64"/>
    </row>
    <row r="43" spans="1:15">
      <c r="A43" s="101" t="s">
        <v>54</v>
      </c>
      <c r="B43" s="38">
        <f>(B42*B41)*52</f>
        <v>34889.4</v>
      </c>
      <c r="C43" s="38">
        <f>B43</f>
        <v>34889.4</v>
      </c>
      <c r="D43" s="112">
        <f>B43+C43</f>
        <v>69778.8</v>
      </c>
      <c r="E43" s="6"/>
      <c r="F43" s="18" t="s">
        <v>40</v>
      </c>
      <c r="G43" s="16">
        <f>120*8</f>
        <v>960</v>
      </c>
      <c r="H43" s="31"/>
      <c r="I43" s="61">
        <v>5000</v>
      </c>
      <c r="J43" s="1"/>
      <c r="K43" s="64"/>
      <c r="L43" s="64"/>
      <c r="M43" s="64"/>
      <c r="N43" s="64"/>
      <c r="O43" s="64"/>
    </row>
    <row r="44" spans="1:15">
      <c r="A44" s="116" t="s">
        <v>55</v>
      </c>
      <c r="B44" s="36">
        <f>-(I45-C26)</f>
        <v>-11680</v>
      </c>
      <c r="C44" s="35"/>
      <c r="D44" s="119"/>
      <c r="E44" s="6"/>
      <c r="F44" s="18" t="s">
        <v>41</v>
      </c>
      <c r="G44" s="16">
        <f>20*8</f>
        <v>160</v>
      </c>
      <c r="H44" s="25"/>
      <c r="I44" s="52"/>
      <c r="J44" s="2"/>
      <c r="K44" s="24"/>
      <c r="L44" s="1"/>
      <c r="M44" s="1"/>
      <c r="N44" s="1"/>
      <c r="O44" s="1"/>
    </row>
    <row r="45" spans="1:15">
      <c r="A45" s="117" t="s">
        <v>56</v>
      </c>
      <c r="B45" s="46">
        <f>B43+B44</f>
        <v>23209.4</v>
      </c>
      <c r="C45" s="46">
        <f>C43+C44</f>
        <v>34889.4</v>
      </c>
      <c r="D45" s="120">
        <f>B45+C45</f>
        <v>58098.8</v>
      </c>
      <c r="E45" s="33"/>
      <c r="F45" s="44" t="s">
        <v>20</v>
      </c>
      <c r="G45" s="43">
        <f>SUM(G42:G44)</f>
        <v>1926</v>
      </c>
      <c r="H45" s="30"/>
      <c r="I45" s="62">
        <f>SUM(I42:I44)</f>
        <v>13000</v>
      </c>
      <c r="J45" s="1"/>
      <c r="K45" s="1"/>
      <c r="L45" s="1"/>
      <c r="M45" s="1"/>
      <c r="N45" s="1"/>
      <c r="O45" s="1"/>
    </row>
    <row r="46" spans="1:15">
      <c r="A46" s="101" t="s">
        <v>57</v>
      </c>
      <c r="B46" s="38">
        <f>B43*0.0188</f>
        <v>655.92072000000007</v>
      </c>
      <c r="C46" s="38">
        <f>C43*0.0188</f>
        <v>655.92072000000007</v>
      </c>
      <c r="D46" s="112">
        <f t="shared" ref="D46:D52" si="0">B46+C46</f>
        <v>1311.8414400000001</v>
      </c>
      <c r="E46" s="33"/>
      <c r="F46" s="25"/>
      <c r="G46" s="2"/>
      <c r="H46" s="25"/>
      <c r="I46" s="1"/>
      <c r="J46" s="1"/>
      <c r="K46" s="1"/>
      <c r="L46" s="1"/>
      <c r="M46" s="1"/>
      <c r="N46" s="1"/>
      <c r="O46" s="1"/>
    </row>
    <row r="47" spans="1:15">
      <c r="A47" s="101" t="s">
        <v>58</v>
      </c>
      <c r="B47" s="38">
        <f>(B43-3500)*0.0495</f>
        <v>1553.7753000000002</v>
      </c>
      <c r="C47" s="38">
        <f>(C43-3500)*0.0495</f>
        <v>1553.7753000000002</v>
      </c>
      <c r="D47" s="112">
        <f t="shared" si="0"/>
        <v>3107.5506000000005</v>
      </c>
      <c r="E47" s="6"/>
      <c r="F47" s="154" t="s">
        <v>43</v>
      </c>
      <c r="G47" s="155"/>
      <c r="H47" s="25"/>
      <c r="I47" s="1"/>
      <c r="J47" s="1"/>
      <c r="K47" s="1"/>
      <c r="L47" s="1"/>
      <c r="M47" s="1"/>
      <c r="N47" s="1"/>
      <c r="O47" s="1"/>
    </row>
    <row r="48" spans="1:15">
      <c r="A48" s="101" t="s">
        <v>59</v>
      </c>
      <c r="B48" s="38">
        <f>MAX(0,((B45*0.15)-((11327+(C12-B45*0.03)+B46+B47+1146+2*500)*0.15)))</f>
        <v>936.78989700000011</v>
      </c>
      <c r="C48" s="38">
        <f>MAX(0,(C45*0.15-(11327+C46+C47+1146+'Family Expenses'!B21+G45)*0.15))</f>
        <v>2601.7055970000001</v>
      </c>
      <c r="D48" s="112">
        <f t="shared" si="0"/>
        <v>3538.4954940000002</v>
      </c>
      <c r="E48" s="6"/>
      <c r="F48" s="18" t="s">
        <v>39</v>
      </c>
      <c r="G48" s="16">
        <f>'Family Expenses'!B26*2</f>
        <v>806</v>
      </c>
      <c r="H48" s="25"/>
      <c r="I48" s="1"/>
      <c r="J48" s="1"/>
      <c r="K48" s="1"/>
      <c r="L48" s="1"/>
      <c r="M48" s="1"/>
      <c r="N48" s="1"/>
      <c r="O48" s="1"/>
    </row>
    <row r="49" spans="1:15">
      <c r="A49" s="101" t="s">
        <v>60</v>
      </c>
      <c r="B49" s="38">
        <f>MAX(0,((B45*0.0879)-((8481+(C12-B45*0.03)+1200+B46+B47)*0.0879)))</f>
        <v>882.27567964200011</v>
      </c>
      <c r="C49" s="38">
        <f>MAX(0,((((C45-29590)*0.1495)+2601)-((8481+C46+C47+G50)*0.0879)))</f>
        <v>2340.5087198419997</v>
      </c>
      <c r="D49" s="112">
        <f t="shared" si="0"/>
        <v>3222.7843994839996</v>
      </c>
      <c r="E49" s="2"/>
      <c r="F49" s="18" t="s">
        <v>46</v>
      </c>
      <c r="G49" s="16">
        <f>60*8</f>
        <v>480</v>
      </c>
      <c r="H49" s="25"/>
      <c r="I49" s="1"/>
      <c r="J49" s="1"/>
      <c r="K49" s="1"/>
      <c r="L49" s="5"/>
      <c r="M49" s="1"/>
      <c r="N49" s="1"/>
      <c r="O49" s="1"/>
    </row>
    <row r="50" spans="1:15">
      <c r="A50" s="101" t="s">
        <v>61</v>
      </c>
      <c r="B50" s="38">
        <f>IF(D45-C26&lt;48546, IF((0.25*(C12-B45*0.03) - 0.05*(D45-C26-25506))&gt;0,-1*(0.25*(C12-B45*0.03) - 0.05*(D45-C26-25506)),0),0)</f>
        <v>0</v>
      </c>
      <c r="C50" s="38">
        <v>0</v>
      </c>
      <c r="D50" s="112">
        <f t="shared" si="0"/>
        <v>0</v>
      </c>
      <c r="E50" s="1"/>
      <c r="F50" s="44" t="s">
        <v>20</v>
      </c>
      <c r="G50" s="43">
        <f>SUM(G48:G49)</f>
        <v>1286</v>
      </c>
      <c r="H50" s="25"/>
      <c r="I50" s="1"/>
      <c r="J50" s="1"/>
      <c r="K50" s="1"/>
      <c r="L50" s="1"/>
      <c r="M50" s="5"/>
      <c r="N50" s="5"/>
      <c r="O50" s="1"/>
    </row>
    <row r="51" spans="1:15">
      <c r="A51" s="115" t="s">
        <v>62</v>
      </c>
      <c r="B51" s="21">
        <f>B43-SUM(B46:B49)+B50</f>
        <v>30860.638403358</v>
      </c>
      <c r="C51" s="21">
        <f>C43-SUM(C46:C49)+C50</f>
        <v>27737.489663158001</v>
      </c>
      <c r="D51" s="121">
        <f t="shared" si="0"/>
        <v>58598.128066516001</v>
      </c>
      <c r="E51" s="1"/>
      <c r="F51" s="64"/>
      <c r="G51" s="64"/>
      <c r="H51" s="6"/>
      <c r="I51" s="1"/>
      <c r="J51" s="1"/>
      <c r="K51" s="1"/>
      <c r="L51" s="1"/>
      <c r="M51" s="1"/>
      <c r="N51" s="1"/>
      <c r="O51" s="1"/>
    </row>
    <row r="52" spans="1:15">
      <c r="A52" s="123" t="s">
        <v>63</v>
      </c>
      <c r="B52" s="124">
        <f>B51/12</f>
        <v>2571.7198669465001</v>
      </c>
      <c r="C52" s="124">
        <f>C51/12</f>
        <v>2311.4574719298334</v>
      </c>
      <c r="D52" s="125">
        <f t="shared" si="0"/>
        <v>4883.177338876334</v>
      </c>
      <c r="E52" s="1"/>
      <c r="F52" s="1"/>
      <c r="G52" s="1"/>
      <c r="H52" s="6"/>
      <c r="I52" s="1"/>
      <c r="J52" s="1"/>
      <c r="K52" s="1"/>
      <c r="L52" s="1"/>
      <c r="M52" s="1"/>
      <c r="N52" s="1"/>
      <c r="O52" s="1"/>
    </row>
    <row r="53" spans="1:15">
      <c r="A53" s="64"/>
      <c r="B53" s="64"/>
      <c r="C53" s="64"/>
      <c r="D53" s="64"/>
      <c r="E53" s="1"/>
      <c r="F53" s="64"/>
      <c r="G53" s="64"/>
      <c r="H53" s="1"/>
      <c r="I53" s="5"/>
      <c r="J53" s="5"/>
      <c r="K53" s="1"/>
      <c r="L53" s="1"/>
      <c r="M53" s="1"/>
      <c r="N53" s="1"/>
      <c r="O53" s="1"/>
    </row>
    <row r="54" spans="1:15" ht="17.25">
      <c r="A54" s="142" t="s">
        <v>64</v>
      </c>
      <c r="B54" s="142"/>
      <c r="C54" s="142"/>
      <c r="D54" s="142"/>
      <c r="E54" s="5"/>
      <c r="F54" s="64"/>
      <c r="G54" s="64"/>
      <c r="H54" s="1"/>
      <c r="I54" s="1"/>
      <c r="J54" s="1"/>
      <c r="K54" s="1"/>
      <c r="L54" s="1"/>
      <c r="M54" s="1"/>
      <c r="N54" s="1"/>
      <c r="O54" s="1"/>
    </row>
    <row r="55" spans="1:15">
      <c r="A55" s="146" t="s">
        <v>65</v>
      </c>
      <c r="B55" s="147"/>
      <c r="C55" s="148"/>
      <c r="D55" s="21">
        <f xml:space="preserve"> D43</f>
        <v>69778.8</v>
      </c>
      <c r="E55" s="64"/>
      <c r="F55" s="64"/>
      <c r="G55" s="64"/>
      <c r="H55" s="1"/>
      <c r="I55" s="1"/>
      <c r="J55" s="1"/>
      <c r="K55" s="1"/>
      <c r="L55" s="1"/>
      <c r="M55" s="1"/>
      <c r="N55" s="1"/>
      <c r="O55" s="5"/>
    </row>
    <row r="56" spans="1:15" ht="17.25">
      <c r="A56" s="146" t="s">
        <v>66</v>
      </c>
      <c r="B56" s="147"/>
      <c r="C56" s="148"/>
      <c r="D56" s="21">
        <f>SUM(B46:B49)+SUM(C46:C49)</f>
        <v>11180.671933484002</v>
      </c>
      <c r="E56" s="142"/>
      <c r="F56" s="64"/>
      <c r="G56" s="64"/>
      <c r="H56" s="1"/>
      <c r="I56" s="1"/>
      <c r="J56" s="1"/>
      <c r="K56" s="1"/>
      <c r="L56" s="1"/>
      <c r="M56" s="1"/>
      <c r="N56" s="1"/>
      <c r="O56" s="1"/>
    </row>
    <row r="57" spans="1:15">
      <c r="A57" s="146" t="s">
        <v>67</v>
      </c>
      <c r="B57" s="147"/>
      <c r="C57" s="148"/>
      <c r="D57" s="21">
        <f>D55-D56</f>
        <v>58598.128066516001</v>
      </c>
      <c r="E57" s="1"/>
      <c r="F57" s="64"/>
      <c r="G57" s="64"/>
      <c r="H57" s="1"/>
      <c r="I57" s="1"/>
      <c r="J57" s="1"/>
      <c r="K57" s="1"/>
      <c r="L57" s="1"/>
      <c r="M57" s="1"/>
      <c r="N57" s="1"/>
      <c r="O57" s="1"/>
    </row>
    <row r="58" spans="1:15">
      <c r="A58" s="146" t="s">
        <v>155</v>
      </c>
      <c r="B58" s="147"/>
      <c r="C58" s="148"/>
      <c r="D58" s="21">
        <f>C31</f>
        <v>6170.67</v>
      </c>
      <c r="E58" s="1"/>
      <c r="F58" s="64"/>
      <c r="G58" s="64"/>
      <c r="H58" s="5"/>
      <c r="I58" s="1"/>
      <c r="J58" s="1"/>
      <c r="K58" s="1"/>
      <c r="L58" s="1"/>
      <c r="M58" s="1"/>
      <c r="N58" s="1"/>
      <c r="O58" s="1"/>
    </row>
    <row r="59" spans="1:15">
      <c r="A59" s="146" t="s">
        <v>69</v>
      </c>
      <c r="B59" s="147"/>
      <c r="C59" s="148"/>
      <c r="D59" s="21">
        <f>D57+D58</f>
        <v>64768.798066515999</v>
      </c>
      <c r="E59" s="1"/>
      <c r="F59" s="64"/>
      <c r="G59" s="64"/>
      <c r="H59" s="1"/>
      <c r="I59" s="1"/>
      <c r="J59" s="1"/>
      <c r="K59" s="5"/>
      <c r="L59" s="64"/>
      <c r="M59" s="64"/>
      <c r="N59" s="64"/>
      <c r="O59" s="1"/>
    </row>
    <row r="60" spans="1:15">
      <c r="A60" s="146" t="s">
        <v>70</v>
      </c>
      <c r="B60" s="147"/>
      <c r="C60" s="148"/>
      <c r="D60" s="21">
        <f>C17</f>
        <v>64748.991649393087</v>
      </c>
      <c r="E60" s="1"/>
      <c r="F60" s="64"/>
      <c r="G60" s="1"/>
      <c r="H60" s="1"/>
      <c r="I60" s="1"/>
      <c r="J60" s="1"/>
      <c r="K60" s="1"/>
      <c r="L60" s="64"/>
      <c r="M60" s="64"/>
      <c r="N60" s="64"/>
      <c r="O60" s="1"/>
    </row>
    <row r="61" spans="1:15">
      <c r="A61" s="146" t="s">
        <v>71</v>
      </c>
      <c r="B61" s="147"/>
      <c r="C61" s="148"/>
      <c r="D61" s="21">
        <f>D59-D60</f>
        <v>19.806417122912535</v>
      </c>
      <c r="E61" s="1"/>
      <c r="F61" s="64"/>
      <c r="G61" s="64"/>
      <c r="H61" s="1"/>
      <c r="I61" s="1"/>
      <c r="J61" s="1"/>
      <c r="K61" s="1"/>
      <c r="L61" s="64"/>
      <c r="M61" s="64"/>
      <c r="N61" s="64"/>
      <c r="O61" s="1"/>
    </row>
    <row r="62" spans="1:15">
      <c r="A62" s="64"/>
      <c r="B62" s="64"/>
      <c r="C62" s="64"/>
      <c r="D62" s="64"/>
      <c r="E62" s="1"/>
      <c r="F62" s="64"/>
      <c r="G62" s="64"/>
      <c r="H62" s="1"/>
      <c r="I62" s="1"/>
      <c r="J62" s="1"/>
      <c r="K62" s="1"/>
      <c r="L62" s="64"/>
      <c r="M62" s="64"/>
      <c r="N62" s="64"/>
      <c r="O62" s="1"/>
    </row>
    <row r="63" spans="1:15">
      <c r="A63" s="64"/>
      <c r="B63" s="64"/>
      <c r="C63" s="64"/>
      <c r="D63" s="64"/>
      <c r="E63" s="5"/>
      <c r="F63" s="64"/>
      <c r="G63" s="64"/>
      <c r="H63" s="1"/>
      <c r="I63" s="1"/>
      <c r="J63" s="1"/>
      <c r="K63" s="1"/>
      <c r="L63" s="64"/>
      <c r="M63" s="64"/>
      <c r="N63" s="64"/>
      <c r="O63" s="1"/>
    </row>
    <row r="64" spans="1:15">
      <c r="A64" s="64"/>
      <c r="B64" s="64"/>
      <c r="C64" s="64"/>
      <c r="D64" s="64"/>
      <c r="E64" s="1"/>
      <c r="F64" s="64"/>
      <c r="G64" s="64"/>
      <c r="H64" s="1"/>
      <c r="I64" s="64"/>
      <c r="J64" s="64"/>
      <c r="K64" s="1"/>
      <c r="L64" s="64"/>
      <c r="M64" s="64"/>
      <c r="N64" s="64"/>
      <c r="O64" s="64"/>
    </row>
    <row r="65" spans="8:11">
      <c r="H65" s="1"/>
      <c r="I65" s="64"/>
      <c r="J65" s="64"/>
      <c r="K65" s="1"/>
    </row>
    <row r="66" spans="8:11">
      <c r="H66" s="1"/>
      <c r="I66" s="64"/>
      <c r="J66" s="64"/>
      <c r="K66" s="1"/>
    </row>
    <row r="67" spans="8:11">
      <c r="H67" s="1"/>
      <c r="I67" s="64"/>
      <c r="J67" s="64"/>
      <c r="K67" s="1"/>
    </row>
    <row r="68" spans="8:11">
      <c r="H68" s="64"/>
      <c r="I68" s="64"/>
      <c r="J68" s="64"/>
      <c r="K68" s="1"/>
    </row>
  </sheetData>
  <mergeCells count="12">
    <mergeCell ref="F41:G41"/>
    <mergeCell ref="F47:G47"/>
    <mergeCell ref="A1:G1"/>
    <mergeCell ref="A2:B2"/>
    <mergeCell ref="A61:C61"/>
    <mergeCell ref="A55:C55"/>
    <mergeCell ref="A19:D19"/>
    <mergeCell ref="A56:C56"/>
    <mergeCell ref="A57:C57"/>
    <mergeCell ref="A58:C58"/>
    <mergeCell ref="A59:C59"/>
    <mergeCell ref="A60:C60"/>
  </mergeCells>
  <phoneticPr fontId="8" type="noConversion"/>
  <pageMargins left="0.7" right="0.7" top="0.75" bottom="0.75" header="0.3" footer="0.3"/>
  <pageSetup orientation="portrait"/>
  <ignoredErrors>
    <ignoredError sqref="C11 B12" formula="1"/>
  </ignoredErrors>
  <tableParts count="4">
    <tablePart r:id="rId1"/>
    <tablePart r:id="rId2"/>
    <tablePart r:id="rId3"/>
    <tablePart r:id="rId4"/>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F48"/>
  <sheetViews>
    <sheetView tabSelected="1" topLeftCell="A10" workbookViewId="0">
      <selection activeCell="A38" sqref="A38"/>
    </sheetView>
  </sheetViews>
  <sheetFormatPr defaultColWidth="8.85546875" defaultRowHeight="15"/>
  <cols>
    <col min="1" max="1" width="24.28515625" customWidth="1"/>
    <col min="2" max="2" width="10.42578125" customWidth="1"/>
    <col min="3" max="3" width="14.28515625" customWidth="1"/>
  </cols>
  <sheetData>
    <row r="1" spans="1:2">
      <c r="A1" s="159" t="s">
        <v>156</v>
      </c>
      <c r="B1" s="159"/>
    </row>
    <row r="2" spans="1:2">
      <c r="A2" s="6"/>
      <c r="B2" s="6"/>
    </row>
    <row r="3" spans="1:2">
      <c r="A3" s="143" t="s">
        <v>11</v>
      </c>
      <c r="B3" s="66"/>
    </row>
    <row r="4" spans="1:2">
      <c r="A4" s="71" t="s">
        <v>157</v>
      </c>
      <c r="B4" s="72">
        <v>1240</v>
      </c>
    </row>
    <row r="5" spans="1:2">
      <c r="A5" s="73" t="s">
        <v>158</v>
      </c>
      <c r="B5" s="74">
        <v>20</v>
      </c>
    </row>
    <row r="6" spans="1:2">
      <c r="A6" s="27" t="s">
        <v>159</v>
      </c>
      <c r="B6" s="75">
        <f>SUM(B4:B5)</f>
        <v>1260</v>
      </c>
    </row>
    <row r="7" spans="1:2">
      <c r="A7" s="76"/>
      <c r="B7" s="76"/>
    </row>
    <row r="8" spans="1:2">
      <c r="A8" s="164" t="s">
        <v>160</v>
      </c>
      <c r="B8" s="165"/>
    </row>
    <row r="9" spans="1:2">
      <c r="A9" s="77" t="s">
        <v>161</v>
      </c>
      <c r="B9" s="78">
        <v>10.83</v>
      </c>
    </row>
    <row r="10" spans="1:2">
      <c r="A10" s="71" t="s">
        <v>162</v>
      </c>
      <c r="B10" s="78">
        <f>0.148*1100</f>
        <v>162.79999999999998</v>
      </c>
    </row>
    <row r="11" spans="1:2">
      <c r="A11" s="71" t="s">
        <v>163</v>
      </c>
      <c r="B11" s="78">
        <f>SUM(B9:B10)*0.15</f>
        <v>26.044499999999999</v>
      </c>
    </row>
    <row r="12" spans="1:2">
      <c r="A12" s="71" t="s">
        <v>20</v>
      </c>
      <c r="B12" s="78">
        <f>SUM(B9:B11)</f>
        <v>199.67449999999999</v>
      </c>
    </row>
    <row r="13" spans="1:2">
      <c r="A13" s="71" t="s">
        <v>164</v>
      </c>
      <c r="B13" s="77">
        <f>-(B12*10%)</f>
        <v>-19.967449999999999</v>
      </c>
    </row>
    <row r="14" spans="1:2">
      <c r="A14" s="27" t="s">
        <v>159</v>
      </c>
      <c r="B14" s="79">
        <f>SUM(B12:B13)</f>
        <v>179.70704999999998</v>
      </c>
    </row>
    <row r="15" spans="1:2">
      <c r="A15" s="80"/>
      <c r="B15" s="28"/>
    </row>
    <row r="16" spans="1:2">
      <c r="A16" s="160" t="s">
        <v>165</v>
      </c>
      <c r="B16" s="161"/>
    </row>
    <row r="17" spans="1:6">
      <c r="A17" s="81" t="s">
        <v>18</v>
      </c>
      <c r="B17" s="82">
        <f>(('Using LW 2015 Income'!C7*75.4%)+('Using LW 2015 Income'!C6*75.4%))/2</f>
        <v>4651.129124000171</v>
      </c>
      <c r="C17" s="64"/>
      <c r="D17" s="64"/>
      <c r="E17" s="64"/>
      <c r="F17" s="64"/>
    </row>
    <row r="18" spans="1:6">
      <c r="A18" s="71" t="s">
        <v>19</v>
      </c>
      <c r="B18" s="89">
        <f>B17</f>
        <v>4651.129124000171</v>
      </c>
      <c r="C18" s="64"/>
      <c r="D18" s="64"/>
      <c r="E18" s="64"/>
      <c r="F18" s="64"/>
    </row>
    <row r="19" spans="1:6">
      <c r="A19" s="17"/>
      <c r="B19" s="17"/>
      <c r="C19" s="64"/>
      <c r="D19" s="64"/>
      <c r="E19" s="64"/>
      <c r="F19" s="64"/>
    </row>
    <row r="20" spans="1:6">
      <c r="A20" s="160" t="s">
        <v>166</v>
      </c>
      <c r="B20" s="161"/>
      <c r="C20" s="64"/>
      <c r="D20" s="64"/>
      <c r="E20" s="64"/>
      <c r="F20" s="64"/>
    </row>
    <row r="21" spans="1:6">
      <c r="A21" s="37" t="s">
        <v>167</v>
      </c>
      <c r="B21" s="83">
        <f>78*12</f>
        <v>936</v>
      </c>
      <c r="C21" s="64"/>
      <c r="D21" s="64"/>
      <c r="E21" s="64"/>
      <c r="F21" s="64"/>
    </row>
    <row r="22" spans="1:6">
      <c r="A22" s="71" t="s">
        <v>168</v>
      </c>
      <c r="B22" s="83">
        <v>4577.8496042216366</v>
      </c>
      <c r="C22" s="64"/>
      <c r="D22" s="64"/>
      <c r="E22" s="64"/>
      <c r="F22" s="64"/>
    </row>
    <row r="23" spans="1:6">
      <c r="A23" s="27" t="s">
        <v>169</v>
      </c>
      <c r="B23" s="138">
        <f>SUM(B21:B22)</f>
        <v>5513.8496042216366</v>
      </c>
      <c r="C23" s="64"/>
      <c r="D23" s="64"/>
      <c r="E23" s="64"/>
      <c r="F23" s="64"/>
    </row>
    <row r="24" spans="1:6">
      <c r="A24" s="28"/>
      <c r="B24" s="17"/>
      <c r="C24" s="64"/>
      <c r="D24" s="64"/>
      <c r="E24" s="64"/>
      <c r="F24" s="64"/>
    </row>
    <row r="25" spans="1:6">
      <c r="A25" s="143" t="s">
        <v>17</v>
      </c>
      <c r="B25" s="66"/>
      <c r="C25" s="8"/>
      <c r="D25" s="5"/>
      <c r="E25" s="5"/>
      <c r="F25" s="5"/>
    </row>
    <row r="26" spans="1:6">
      <c r="A26" s="71" t="s">
        <v>170</v>
      </c>
      <c r="B26" s="78">
        <v>403</v>
      </c>
      <c r="C26" s="3"/>
      <c r="D26" s="64"/>
      <c r="E26" s="64"/>
      <c r="F26" s="64"/>
    </row>
    <row r="27" spans="1:6">
      <c r="A27" s="71" t="s">
        <v>171</v>
      </c>
      <c r="B27" s="78">
        <f>AVERAGE(30,27.5,37.5)</f>
        <v>31.666666666666668</v>
      </c>
      <c r="C27" s="17"/>
      <c r="D27" s="64"/>
      <c r="E27" s="64"/>
      <c r="F27" s="64"/>
    </row>
    <row r="28" spans="1:6">
      <c r="A28" s="27" t="s">
        <v>169</v>
      </c>
      <c r="B28" s="84">
        <f>(B26*2)+B27</f>
        <v>837.66666666666663</v>
      </c>
      <c r="C28" s="17"/>
      <c r="D28" s="64"/>
      <c r="E28" s="64"/>
      <c r="F28" s="64"/>
    </row>
    <row r="29" spans="1:6">
      <c r="A29" s="85"/>
      <c r="B29" s="85"/>
      <c r="C29" s="17"/>
      <c r="D29" s="64"/>
      <c r="E29" s="64"/>
      <c r="F29" s="64"/>
    </row>
    <row r="30" spans="1:6">
      <c r="A30" s="134" t="s">
        <v>14</v>
      </c>
      <c r="B30" s="135"/>
      <c r="C30" s="17"/>
      <c r="D30" s="64"/>
      <c r="E30" s="64"/>
      <c r="F30" s="64"/>
    </row>
    <row r="31" spans="1:6">
      <c r="A31" s="86" t="s">
        <v>172</v>
      </c>
      <c r="B31" s="83">
        <f>785*12</f>
        <v>9420</v>
      </c>
      <c r="C31" s="64"/>
      <c r="D31" s="64"/>
      <c r="E31" s="64"/>
      <c r="F31" s="64"/>
    </row>
    <row r="32" spans="1:6">
      <c r="A32" s="86" t="s">
        <v>173</v>
      </c>
      <c r="B32" s="83">
        <f>20*195</f>
        <v>3900</v>
      </c>
      <c r="C32" s="64"/>
      <c r="D32" s="53"/>
      <c r="E32" s="64"/>
      <c r="F32" s="64"/>
    </row>
    <row r="33" spans="1:4">
      <c r="A33" s="86" t="s">
        <v>174</v>
      </c>
      <c r="B33" s="83">
        <f>(AVERAGE(100,150,200))*7</f>
        <v>1050</v>
      </c>
      <c r="C33" s="64"/>
      <c r="D33" s="53"/>
    </row>
    <row r="34" spans="1:4" s="64" customFormat="1">
      <c r="A34" s="86" t="s">
        <v>175</v>
      </c>
      <c r="B34" s="83">
        <f>30*15</f>
        <v>450</v>
      </c>
    </row>
    <row r="35" spans="1:4" s="64" customFormat="1">
      <c r="A35" s="132" t="s">
        <v>176</v>
      </c>
      <c r="B35" s="38"/>
      <c r="C35" s="64" t="s">
        <v>177</v>
      </c>
    </row>
    <row r="36" spans="1:4">
      <c r="A36" s="134" t="s">
        <v>169</v>
      </c>
      <c r="B36" s="87">
        <f>SUM(B31:B35)</f>
        <v>14820</v>
      </c>
      <c r="C36" s="64"/>
      <c r="D36" s="64"/>
    </row>
    <row r="37" spans="1:4">
      <c r="A37" s="162"/>
      <c r="B37" s="163"/>
      <c r="C37" s="64"/>
      <c r="D37" s="64"/>
    </row>
    <row r="38" spans="1:4" s="64" customFormat="1">
      <c r="A38" s="145" t="s">
        <v>185</v>
      </c>
      <c r="B38" s="144"/>
    </row>
    <row r="39" spans="1:4" s="64" customFormat="1">
      <c r="A39" s="88" t="s">
        <v>178</v>
      </c>
      <c r="B39" s="88">
        <v>245.6</v>
      </c>
    </row>
    <row r="40" spans="1:4">
      <c r="A40" s="88" t="s">
        <v>179</v>
      </c>
      <c r="B40" s="88">
        <v>290.29000000000002</v>
      </c>
      <c r="C40" s="64"/>
      <c r="D40" s="64"/>
    </row>
    <row r="41" spans="1:4">
      <c r="A41" s="71" t="s">
        <v>180</v>
      </c>
      <c r="B41" s="71">
        <v>170.34</v>
      </c>
      <c r="C41" s="64"/>
      <c r="D41" s="64"/>
    </row>
    <row r="42" spans="1:4">
      <c r="A42" s="71" t="s">
        <v>181</v>
      </c>
      <c r="B42" s="71">
        <v>168.13</v>
      </c>
      <c r="C42" s="64"/>
      <c r="D42" s="64"/>
    </row>
    <row r="43" spans="1:4">
      <c r="A43" s="27" t="s">
        <v>159</v>
      </c>
      <c r="B43" s="27">
        <f>SUM(B39:B42)</f>
        <v>874.36</v>
      </c>
      <c r="C43" s="64"/>
      <c r="D43" s="64"/>
    </row>
    <row r="44" spans="1:4">
      <c r="A44" s="137" t="s">
        <v>182</v>
      </c>
      <c r="B44" s="64">
        <v>935.11</v>
      </c>
      <c r="C44" s="64"/>
      <c r="D44" s="64"/>
    </row>
    <row r="45" spans="1:4">
      <c r="A45" s="137" t="s">
        <v>183</v>
      </c>
      <c r="B45" s="64">
        <v>907.31</v>
      </c>
      <c r="C45" s="64"/>
      <c r="D45" s="64"/>
    </row>
    <row r="46" spans="1:4">
      <c r="A46" s="137" t="s">
        <v>184</v>
      </c>
      <c r="B46" s="136">
        <f>B43*B45/B44</f>
        <v>848.36604420870265</v>
      </c>
      <c r="C46" s="64"/>
      <c r="D46" s="64"/>
    </row>
    <row r="47" spans="1:4">
      <c r="A47" s="64"/>
      <c r="B47" s="64"/>
      <c r="C47" s="64"/>
      <c r="D47" s="64"/>
    </row>
    <row r="48" spans="1:4">
      <c r="A48" s="64"/>
      <c r="B48" s="64"/>
      <c r="C48" s="1"/>
      <c r="D48" s="64"/>
    </row>
  </sheetData>
  <mergeCells count="5">
    <mergeCell ref="A1:B1"/>
    <mergeCell ref="A16:B16"/>
    <mergeCell ref="A20:B20"/>
    <mergeCell ref="A37:B37"/>
    <mergeCell ref="A8:B8"/>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1st time calculation</vt:lpstr>
      <vt:lpstr>CPI</vt:lpstr>
      <vt:lpstr>MBM</vt:lpstr>
      <vt:lpstr>Using LW 2015 Income</vt:lpstr>
      <vt:lpstr>Family Expenses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Partridge</dc:creator>
  <cp:keywords/>
  <dc:description/>
  <cp:lastModifiedBy>CCPANS</cp:lastModifiedBy>
  <cp:revision/>
  <dcterms:created xsi:type="dcterms:W3CDTF">2014-07-08T21:01:56Z</dcterms:created>
  <dcterms:modified xsi:type="dcterms:W3CDTF">2016-11-15T18:07:28Z</dcterms:modified>
  <cp:category/>
  <cp:contentStatus/>
</cp:coreProperties>
</file>