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autoCompressPictures="0"/>
  <mc:AlternateContent xmlns:mc="http://schemas.openxmlformats.org/markup-compatibility/2006">
    <mc:Choice Requires="x15">
      <x15ac:absPath xmlns:x15ac="http://schemas.microsoft.com/office/spreadsheetml/2010/11/ac" url="/Users/christinesaulnier/Dropbox/CCPA 2007/Research/Living Wage/Living Wage NL 2019/"/>
    </mc:Choice>
  </mc:AlternateContent>
  <xr:revisionPtr revIDLastSave="0" documentId="8_{D18033C6-93DA-B746-B74F-270BBCA69445}" xr6:coauthVersionLast="43" xr6:coauthVersionMax="43" xr10:uidLastSave="{00000000-0000-0000-0000-000000000000}"/>
  <bookViews>
    <workbookView xWindow="0" yWindow="460" windowWidth="25600" windowHeight="15540" xr2:uid="{00000000-000D-0000-FFFF-FFFF00000000}"/>
  </bookViews>
  <sheets>
    <sheet name="LW 2019 Income" sheetId="1" r:id="rId1"/>
    <sheet name="table 2 calculations" sheetId="15" r:id="rId2"/>
    <sheet name="table 4 calculations" sheetId="16" r:id="rId3"/>
    <sheet name="CPI" sheetId="9" r:id="rId4"/>
    <sheet name="MBM" sheetId="10" r:id="rId5"/>
    <sheet name="Family Expenses" sheetId="14" r:id="rId6"/>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4" i="14" l="1"/>
  <c r="B35" i="14"/>
  <c r="B49" i="14"/>
  <c r="G24" i="1" l="1"/>
  <c r="C29" i="10"/>
  <c r="B63" i="14"/>
  <c r="B19" i="14"/>
  <c r="B21" i="14" s="1"/>
  <c r="G38" i="1"/>
  <c r="B39" i="1" s="1"/>
  <c r="B25" i="14"/>
  <c r="C7" i="1" s="1"/>
  <c r="B59" i="14"/>
  <c r="B58" i="14" s="1"/>
  <c r="I31" i="1"/>
  <c r="K20" i="15" s="1"/>
  <c r="I32" i="1"/>
  <c r="B48" i="14"/>
  <c r="K21" i="1"/>
  <c r="B44" i="14"/>
  <c r="C14" i="1" s="1"/>
  <c r="B36" i="14"/>
  <c r="B12" i="1"/>
  <c r="D35" i="14"/>
  <c r="B51" i="14"/>
  <c r="B50" i="14"/>
  <c r="B20" i="14"/>
  <c r="B10" i="14"/>
  <c r="B11" i="14" s="1"/>
  <c r="H12" i="10"/>
  <c r="I27" i="1"/>
  <c r="K16" i="15" s="1"/>
  <c r="I28" i="1"/>
  <c r="K17" i="15" s="1"/>
  <c r="I29" i="1"/>
  <c r="K18" i="15"/>
  <c r="I30" i="1"/>
  <c r="K19" i="15" s="1"/>
  <c r="I26" i="1"/>
  <c r="K15" i="15"/>
  <c r="B38" i="1"/>
  <c r="C38" i="1" s="1"/>
  <c r="I40" i="16"/>
  <c r="I43" i="16"/>
  <c r="L48" i="16"/>
  <c r="L51" i="16" s="1"/>
  <c r="I44" i="16" s="1"/>
  <c r="C37" i="1"/>
  <c r="C13" i="1" s="1"/>
  <c r="C12" i="1"/>
  <c r="I29" i="16"/>
  <c r="L33" i="16"/>
  <c r="L34" i="16"/>
  <c r="H29" i="16"/>
  <c r="I20" i="15"/>
  <c r="C20" i="15"/>
  <c r="C21" i="1"/>
  <c r="H40" i="16"/>
  <c r="H43" i="16"/>
  <c r="H50" i="16"/>
  <c r="I50" i="16"/>
  <c r="B45" i="1"/>
  <c r="C45" i="1"/>
  <c r="I45" i="15"/>
  <c r="D22" i="1" s="1"/>
  <c r="I46" i="15"/>
  <c r="D23" i="1" s="1"/>
  <c r="J10" i="15"/>
  <c r="I21" i="1"/>
  <c r="K10" i="15" s="1"/>
  <c r="J11" i="15"/>
  <c r="I22" i="1"/>
  <c r="K11" i="15"/>
  <c r="J12" i="15"/>
  <c r="K12" i="15"/>
  <c r="J13" i="15"/>
  <c r="K13" i="15"/>
  <c r="J15" i="15"/>
  <c r="J16" i="15"/>
  <c r="J17" i="15"/>
  <c r="J18" i="15"/>
  <c r="J19" i="15"/>
  <c r="I11" i="15"/>
  <c r="I12" i="15"/>
  <c r="I15" i="15"/>
  <c r="I16" i="15"/>
  <c r="I17" i="15"/>
  <c r="I18" i="15"/>
  <c r="I19" i="15"/>
  <c r="I10" i="15"/>
  <c r="C25" i="15"/>
  <c r="C26" i="15"/>
  <c r="D36" i="1"/>
  <c r="D45" i="1"/>
  <c r="J14" i="15"/>
  <c r="J20" i="15"/>
  <c r="I13" i="15"/>
  <c r="I25" i="1"/>
  <c r="K14" i="15" s="1"/>
  <c r="I44" i="15" s="1"/>
  <c r="D11" i="15" s="1"/>
  <c r="I14" i="15"/>
  <c r="I54" i="15" l="1"/>
  <c r="D12" i="15" s="1"/>
  <c r="C12" i="15" s="1"/>
  <c r="B45" i="14"/>
  <c r="B53" i="14"/>
  <c r="C11" i="1" s="1"/>
  <c r="B26" i="14"/>
  <c r="L35" i="16"/>
  <c r="I32" i="16" s="1"/>
  <c r="C6" i="1"/>
  <c r="B6" i="1" s="1"/>
  <c r="B37" i="14"/>
  <c r="B38" i="14" s="1"/>
  <c r="B40" i="1"/>
  <c r="H34" i="16"/>
  <c r="B54" i="14"/>
  <c r="D38" i="1"/>
  <c r="D50" i="1" s="1"/>
  <c r="D13" i="16"/>
  <c r="C40" i="1"/>
  <c r="D8" i="16"/>
  <c r="B22" i="14"/>
  <c r="C9" i="1" s="1"/>
  <c r="B9" i="1" s="1"/>
  <c r="B13" i="1"/>
  <c r="B14" i="1"/>
  <c r="B7" i="1"/>
  <c r="C23" i="1"/>
  <c r="C11" i="15"/>
  <c r="B23" i="1" s="1"/>
  <c r="I43" i="15"/>
  <c r="D10" i="15" s="1"/>
  <c r="C8" i="16"/>
  <c r="C13" i="16"/>
  <c r="B12" i="14"/>
  <c r="B29" i="14"/>
  <c r="C10" i="1" l="1"/>
  <c r="C24" i="1"/>
  <c r="B24" i="1" s="1"/>
  <c r="D40" i="1"/>
  <c r="H48" i="16"/>
  <c r="H35" i="16"/>
  <c r="B13" i="14"/>
  <c r="B15" i="14" s="1"/>
  <c r="B16" i="14" s="1"/>
  <c r="B6" i="14"/>
  <c r="I48" i="16"/>
  <c r="I35" i="16"/>
  <c r="I45" i="16"/>
  <c r="I33" i="16"/>
  <c r="C10" i="15"/>
  <c r="B22" i="1" s="1"/>
  <c r="B26" i="1" s="1"/>
  <c r="C22" i="1"/>
  <c r="H42" i="16"/>
  <c r="B42" i="1"/>
  <c r="H31" i="16"/>
  <c r="I31" i="16"/>
  <c r="C42" i="1"/>
  <c r="I42" i="16"/>
  <c r="B41" i="1"/>
  <c r="H30" i="16"/>
  <c r="H41" i="16"/>
  <c r="H49" i="16" s="1"/>
  <c r="C15" i="1"/>
  <c r="B30" i="14"/>
  <c r="B31" i="14" s="1"/>
  <c r="B10" i="1"/>
  <c r="I30" i="16"/>
  <c r="I41" i="16"/>
  <c r="C41" i="1"/>
  <c r="B11" i="1"/>
  <c r="B8" i="1" l="1"/>
  <c r="C8" i="1" s="1"/>
  <c r="C26" i="1"/>
  <c r="H51" i="16"/>
  <c r="B43" i="1" s="1"/>
  <c r="I49" i="16"/>
  <c r="I51" i="16" s="1"/>
  <c r="C43" i="1" s="1"/>
  <c r="I36" i="16"/>
  <c r="I38" i="16" s="1"/>
  <c r="C44" i="1" s="1"/>
  <c r="D41" i="1"/>
  <c r="D53" i="1"/>
  <c r="B15" i="1"/>
  <c r="C16" i="1"/>
  <c r="D42" i="1"/>
  <c r="H36" i="16"/>
  <c r="H38" i="16" s="1"/>
  <c r="B44" i="1" s="1"/>
  <c r="C46" i="1" l="1"/>
  <c r="C47" i="1" s="1"/>
  <c r="D44" i="1"/>
  <c r="D43" i="1"/>
  <c r="B16" i="1"/>
  <c r="D51" i="1"/>
  <c r="D52" i="1" s="1"/>
  <c r="D54" i="1" s="1"/>
  <c r="B17" i="1"/>
  <c r="C17" i="1"/>
  <c r="B46" i="1"/>
  <c r="D14" i="1" l="1"/>
  <c r="D17" i="1"/>
  <c r="D13" i="1"/>
  <c r="D9" i="1"/>
  <c r="D16" i="1"/>
  <c r="D8" i="1"/>
  <c r="D15" i="1"/>
  <c r="D11" i="1"/>
  <c r="D7" i="1"/>
  <c r="D6" i="1"/>
  <c r="D12" i="1"/>
  <c r="D10" i="1"/>
  <c r="B47" i="1"/>
  <c r="D47" i="1" s="1"/>
  <c r="D46" i="1"/>
  <c r="C30" i="1" s="1"/>
  <c r="C31" i="1"/>
  <c r="D55" i="1"/>
  <c r="D56" i="1" s="1"/>
  <c r="C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Bourgeois</author>
  </authors>
  <commentList>
    <comment ref="A21" authorId="0" shapeId="0" xr:uid="{00000000-0006-0000-0000-000001000000}">
      <text>
        <r>
          <rPr>
            <b/>
            <sz val="9"/>
            <color rgb="FF000000"/>
            <rFont val="Tahoma"/>
            <family val="2"/>
          </rPr>
          <t>Bourgeois:</t>
        </r>
        <r>
          <rPr>
            <sz val="9"/>
            <color rgb="FF000000"/>
            <rFont val="Tahoma"/>
            <family val="2"/>
          </rPr>
          <t xml:space="preserve">
</t>
        </r>
        <r>
          <rPr>
            <sz val="9"/>
            <color rgb="FF000000"/>
            <rFont val="Tahoma"/>
            <family val="2"/>
          </rPr>
          <t xml:space="preserve">family income way too high
</t>
        </r>
        <r>
          <rPr>
            <sz val="9"/>
            <color rgb="FF000000"/>
            <rFont val="Tahoma"/>
            <family val="2"/>
          </rPr>
          <t xml:space="preserve">- hard treshold is 25257 for family income. Ours is in the 70k
</t>
        </r>
      </text>
    </comment>
    <comment ref="A25" authorId="0" shapeId="0" xr:uid="{00000000-0006-0000-0000-000002000000}">
      <text>
        <r>
          <rPr>
            <b/>
            <sz val="9"/>
            <color rgb="FF000000"/>
            <rFont val="Tahoma"/>
            <family val="2"/>
          </rPr>
          <t xml:space="preserve">Bourgeois: family income way too high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Bourgeois</author>
  </authors>
  <commentList>
    <comment ref="H22" authorId="0" shapeId="0" xr:uid="{00000000-0006-0000-0100-000001000000}">
      <text>
        <r>
          <rPr>
            <b/>
            <sz val="9"/>
            <color indexed="81"/>
            <rFont val="Tahoma"/>
            <family val="2"/>
          </rPr>
          <t>Bourgeois:</t>
        </r>
        <r>
          <rPr>
            <sz val="9"/>
            <color indexed="81"/>
            <rFont val="Tahoma"/>
            <family val="2"/>
          </rPr>
          <t xml:space="preserve">
based on https://www.fin.gc.ca/n17/data/17-103_1-eng.asp
note : the calculation is hard to do within one single formula, so I used the 2 and 7 year old kids - if this changes, then the calculation needs to be ammended
</t>
        </r>
      </text>
    </comment>
    <comment ref="H48" authorId="0" shapeId="0" xr:uid="{00000000-0006-0000-0100-000002000000}">
      <text>
        <r>
          <rPr>
            <b/>
            <sz val="9"/>
            <color indexed="81"/>
            <rFont val="Tahoma"/>
            <family val="2"/>
          </rPr>
          <t>Bourgeois:</t>
        </r>
        <r>
          <rPr>
            <sz val="9"/>
            <color indexed="81"/>
            <rFont val="Tahoma"/>
            <family val="2"/>
          </rPr>
          <t xml:space="preserve">
based on https://www.canada.ca/content/dam/cra-arc/formspubs/pub/rc4210/rc4210-17e.pdf</t>
        </r>
      </text>
    </comment>
    <comment ref="H69" authorId="0" shapeId="0" xr:uid="{00000000-0006-0000-0100-000003000000}">
      <text>
        <r>
          <rPr>
            <b/>
            <sz val="9"/>
            <color indexed="81"/>
            <rFont val="Tahoma"/>
            <family val="2"/>
          </rPr>
          <t>Bourgeois:</t>
        </r>
        <r>
          <rPr>
            <sz val="9"/>
            <color indexed="81"/>
            <rFont val="Tahoma"/>
            <family val="2"/>
          </rPr>
          <t xml:space="preserve">
source https://www.canada.ca/en/revenue-agency/services/child-family-benefits/provincial-territorial-programs/information-new-brunswick-harmonized-sales-tax-credit.html#Q5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Bourgeois</author>
  </authors>
  <commentList>
    <comment ref="C7" authorId="0" shapeId="0" xr:uid="{00000000-0006-0000-0200-000001000000}">
      <text>
        <r>
          <rPr>
            <b/>
            <sz val="9"/>
            <color indexed="81"/>
            <rFont val="Tahoma"/>
            <family val="2"/>
          </rPr>
          <t>Bourgeois:</t>
        </r>
        <r>
          <rPr>
            <sz val="9"/>
            <color indexed="81"/>
            <rFont val="Tahoma"/>
            <family val="2"/>
          </rPr>
          <t xml:space="preserve">
source https://www.canada.ca/en/revenue-agency/services/tax/businesses/topics/payroll/payroll-deductions-contributions/employment-insurance-ei/ei-premium-rates-maximums.html
</t>
        </r>
      </text>
    </comment>
    <comment ref="I35" authorId="0" shapeId="0" xr:uid="{00000000-0006-0000-0200-000002000000}">
      <text>
        <r>
          <rPr>
            <b/>
            <sz val="9"/>
            <color indexed="81"/>
            <rFont val="Tahoma"/>
            <family val="2"/>
          </rPr>
          <t>Bourgeois:</t>
        </r>
        <r>
          <rPr>
            <sz val="9"/>
            <color indexed="81"/>
            <rFont val="Tahoma"/>
            <family val="2"/>
          </rPr>
          <t xml:space="preserve">
watch out - the rate in NL is super low - and mostlikely requires 2 income brackets</t>
        </r>
      </text>
    </comment>
    <comment ref="J44" authorId="0" shapeId="0" xr:uid="{00000000-0006-0000-0200-000003000000}">
      <text>
        <r>
          <rPr>
            <b/>
            <sz val="9"/>
            <color indexed="81"/>
            <rFont val="Tahoma"/>
            <family val="2"/>
          </rPr>
          <t>Bourgeois:</t>
        </r>
        <r>
          <rPr>
            <sz val="9"/>
            <color indexed="81"/>
            <rFont val="Tahoma"/>
            <family val="2"/>
          </rPr>
          <t xml:space="preserve">
Bourgeois:
source: https://www.canada.ca/en/revenue-agency/services/tax/individuals/topics/about-your-tax-return/tax-return/completing-a-tax-return/deductions-credits-expenses/line-323-your-tuition-education-textbook-amounts.html</t>
        </r>
      </text>
    </comment>
  </commentList>
</comments>
</file>

<file path=xl/sharedStrings.xml><?xml version="1.0" encoding="utf-8"?>
<sst xmlns="http://schemas.openxmlformats.org/spreadsheetml/2006/main" count="401" uniqueCount="282">
  <si>
    <t>Item</t>
  </si>
  <si>
    <t>Monthly</t>
  </si>
  <si>
    <t>Annually</t>
  </si>
  <si>
    <t>% of Total</t>
  </si>
  <si>
    <t>Food</t>
  </si>
  <si>
    <t>Clothing and Footwear</t>
  </si>
  <si>
    <t>Shelter</t>
  </si>
  <si>
    <t>Transportation</t>
  </si>
  <si>
    <t>Child Care</t>
  </si>
  <si>
    <t>Health Care</t>
  </si>
  <si>
    <t>Contingency/Emergency</t>
  </si>
  <si>
    <t>Parent Education</t>
  </si>
  <si>
    <t>Household Expenses</t>
  </si>
  <si>
    <t>Social Inclusion</t>
  </si>
  <si>
    <t>Total</t>
  </si>
  <si>
    <t>Table II:  Non-Wage Income (Government Transfers)</t>
  </si>
  <si>
    <t>CCB</t>
  </si>
  <si>
    <t>Income</t>
  </si>
  <si>
    <t>No CBB at FNI</t>
  </si>
  <si>
    <t>GST credit</t>
  </si>
  <si>
    <t>Tuition</t>
  </si>
  <si>
    <t>$120/mth</t>
  </si>
  <si>
    <t>$20/mth text</t>
  </si>
  <si>
    <t>Table III:  Family Income Less Family Expenses</t>
  </si>
  <si>
    <t>Provincial Tuition Credits</t>
  </si>
  <si>
    <t>Available Annual Income</t>
  </si>
  <si>
    <t>Annual Family Expenses</t>
  </si>
  <si>
    <t>$60/month</t>
  </si>
  <si>
    <t>Gap</t>
  </si>
  <si>
    <t>Table IV:  The Living Wage and Government Deductions and Taxes</t>
  </si>
  <si>
    <t>Column1</t>
  </si>
  <si>
    <t>Parent 1</t>
  </si>
  <si>
    <t>Parent 2</t>
  </si>
  <si>
    <t>Hours / Week</t>
  </si>
  <si>
    <t>Wage</t>
  </si>
  <si>
    <t>Employment Income</t>
  </si>
  <si>
    <t xml:space="preserve">Adjustments </t>
  </si>
  <si>
    <t>Net Income</t>
  </si>
  <si>
    <t>EI Premiums</t>
  </si>
  <si>
    <t>CPP Premiums</t>
  </si>
  <si>
    <t>Fed. Income Tax</t>
  </si>
  <si>
    <t>Prov. Income Tax</t>
  </si>
  <si>
    <t>Fed. Refundable Credits</t>
  </si>
  <si>
    <t>After Tax Income</t>
  </si>
  <si>
    <t>Monthly After Tax Inc.</t>
  </si>
  <si>
    <t>Table V:  Family Income less Gov't Deductions and Taxes plus Gov't Transfers</t>
  </si>
  <si>
    <t>Total Annual Income from Employment</t>
  </si>
  <si>
    <t xml:space="preserve">  - EI, CPP, Fed. and Prov. Taxes</t>
  </si>
  <si>
    <t>Equals Family Take Home Pay</t>
  </si>
  <si>
    <t>Equals Total Disposable Family Income</t>
  </si>
  <si>
    <t xml:space="preserve">  - Family Expenses</t>
  </si>
  <si>
    <t>Equals Income less expenses</t>
  </si>
  <si>
    <t>Total threshold</t>
  </si>
  <si>
    <t>Clothing</t>
  </si>
  <si>
    <t>Footnotes:</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</si>
  <si>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</si>
  <si>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All-items</t>
  </si>
  <si>
    <t>Private transportation</t>
  </si>
  <si>
    <t>Purchase, leasing and rental of passenger vehicles</t>
  </si>
  <si>
    <t>Operation of passenger vehicles</t>
  </si>
  <si>
    <t>With the introduction of the 1992 basket in January 1995, emphasis was shifted from city data to provincial data. City all-items series were continued since many users had come to rely on this service, but the method of calculation was changed. Shelter indexes are calculated for each city. This recognizes the importance of shelter in the basket, the significant and persistent differences in price movements between cities, and the availability of local data. For the other seven major components, the movement of the provincial counterpart is used except in the cases of Montréal, Toronto, and Vancouver, where a sub-provincial counterpart is used. The major components are aggregated using the city's expenditure pattern to arrive at each city's all-items index.</t>
  </si>
  <si>
    <t>The goods and services that make up the Consumer Price Index (CPI) are organized according to a hierarchical structure with the "all-items CPI" as the top level. Eight major components of goods and services make up the "all-items CPI". They are: "food", "shelter", "household operations, furnishings and equipment", "clothing and footwear", "transportation", "health and personal care", "recreation, education and reading", and "alcoholic beverages and tobacco products". These eight components are broken down into a varying number of sub-groups which are in turn broken down into other sub-groups. Indents are used to identify the components that make up each level of aggregation. For example, the eight major components appear with one indent relative to the "all-items CPI" to show that they are combined to obtain the "all-items CPI". NOTE: Some items are recombined outside the main structure of the CPI to obtain special aggregates such as "all-items CPI excluding food and energy", "energy", "goods", "services", or "fresh fruit and vegetables". They are listed after the components of the main structure of the CPI following the last major component entitled "alcoholic beverages and tobacco products".</t>
  </si>
  <si>
    <t>Other expenses</t>
  </si>
  <si>
    <t>Table IIa:  Last Year's Family Income (For Government Transfers)</t>
    <phoneticPr fontId="1" type="noConversion"/>
  </si>
  <si>
    <t>Child Care Expenses</t>
  </si>
  <si>
    <t>Content Insurance</t>
  </si>
  <si>
    <t>Total Monthly</t>
  </si>
  <si>
    <t>Base Customer Charge</t>
  </si>
  <si>
    <t>Rate/KWh (1100)</t>
  </si>
  <si>
    <t>HST</t>
  </si>
  <si>
    <t>Total Annual</t>
  </si>
  <si>
    <t>Average Student Fees</t>
  </si>
  <si>
    <t xml:space="preserve"> </t>
  </si>
  <si>
    <t>Table I: Family Expenses--Two Adults and Two Children (age 2 and 7)</t>
  </si>
  <si>
    <t>Toddler Full Time (2y/o)</t>
  </si>
  <si>
    <t>12 monthly bus passes</t>
  </si>
  <si>
    <t>One child under 6</t>
  </si>
  <si>
    <t>One child over 6</t>
  </si>
  <si>
    <t>Taxi (2 trips per week)</t>
  </si>
  <si>
    <t>2 cell phones (basic, unltd text and talk)</t>
  </si>
  <si>
    <t>Basic Internet</t>
  </si>
  <si>
    <t>Private Health Insurance (not coverd by medicare)</t>
  </si>
  <si>
    <t>in this sheet, you can find all the programs values, treshold and rates used in the calculation of the programs.</t>
  </si>
  <si>
    <t>for some program, a division was made explicitely to differenciated between the calculation of the first 6 months and the last 6 months.</t>
  </si>
  <si>
    <t>the formula used to make the calculations are fixed, in the sense that if the calculation process changes, the formula will need to be changed. If the values change (example to adjust for inflation, then simply update the values in the table)</t>
  </si>
  <si>
    <t>If you received an error, you did something wrong. Either entered a bad rate, or the error will specify to what the problem is.</t>
  </si>
  <si>
    <t>Table IIa:  Last Year's Family Income (For Government Transfers)</t>
  </si>
  <si>
    <t>Month</t>
  </si>
  <si>
    <t>Annual</t>
  </si>
  <si>
    <t>Notes</t>
  </si>
  <si>
    <t>this years income</t>
  </si>
  <si>
    <t>CCB (jan-Jun)</t>
  </si>
  <si>
    <t>CCB (jul -dec)</t>
  </si>
  <si>
    <t>General Information</t>
  </si>
  <si>
    <t>number of kids under 18</t>
  </si>
  <si>
    <t>age of kid 1</t>
  </si>
  <si>
    <t>age of kid 2</t>
  </si>
  <si>
    <t xml:space="preserve">cells in </t>
  </si>
  <si>
    <t>need to be possibly updated</t>
  </si>
  <si>
    <t>don’t touch, unless the formula has changed</t>
  </si>
  <si>
    <t>don't touch, they are simply linked</t>
  </si>
  <si>
    <t>Childcare benefit Calculation (CCB)</t>
  </si>
  <si>
    <t>january-june</t>
  </si>
  <si>
    <t>1st treshold</t>
  </si>
  <si>
    <t>2nd treshold</t>
  </si>
  <si>
    <t>max child under 6</t>
  </si>
  <si>
    <t>max child 6 to 17</t>
  </si>
  <si>
    <t>july-dec</t>
  </si>
  <si>
    <r>
      <t xml:space="preserve">reduction rates </t>
    </r>
    <r>
      <rPr>
        <b/>
        <u/>
        <sz val="12"/>
        <color theme="1"/>
        <rFont val="Calibri"/>
        <family val="2"/>
        <scheme val="minor"/>
      </rPr>
      <t>between</t>
    </r>
    <r>
      <rPr>
        <u/>
        <sz val="11"/>
        <color theme="1"/>
        <rFont val="Calibri"/>
        <family val="2"/>
        <scheme val="minor"/>
      </rPr>
      <t xml:space="preserve"> AFNI</t>
    </r>
  </si>
  <si>
    <t>1 child family</t>
  </si>
  <si>
    <t>2 chidren family</t>
  </si>
  <si>
    <t>3 children family</t>
  </si>
  <si>
    <t>4+ children family</t>
  </si>
  <si>
    <r>
      <t xml:space="preserve">plus rates  AFNI </t>
    </r>
    <r>
      <rPr>
        <b/>
        <u/>
        <sz val="12"/>
        <color theme="1"/>
        <rFont val="Calibri"/>
        <family val="2"/>
        <scheme val="minor"/>
      </rPr>
      <t>over</t>
    </r>
  </si>
  <si>
    <r>
      <t xml:space="preserve">CCB </t>
    </r>
    <r>
      <rPr>
        <b/>
        <sz val="12"/>
        <color theme="1"/>
        <rFont val="Calibri"/>
        <family val="2"/>
        <scheme val="minor"/>
      </rPr>
      <t>6 months</t>
    </r>
    <r>
      <rPr>
        <sz val="11"/>
        <color theme="1"/>
        <rFont val="Calibri"/>
        <family val="2"/>
        <scheme val="minor"/>
      </rPr>
      <t xml:space="preserve"> (Jan-June)</t>
    </r>
  </si>
  <si>
    <t>*family specific</t>
  </si>
  <si>
    <r>
      <t xml:space="preserve">CCB </t>
    </r>
    <r>
      <rPr>
        <b/>
        <sz val="12"/>
        <color theme="1"/>
        <rFont val="Calibri"/>
        <family val="2"/>
        <scheme val="minor"/>
      </rPr>
      <t>6 months</t>
    </r>
    <r>
      <rPr>
        <sz val="11"/>
        <color theme="1"/>
        <rFont val="Calibri"/>
        <family val="2"/>
        <scheme val="minor"/>
      </rPr>
      <t xml:space="preserve"> (July-Dec)</t>
    </r>
  </si>
  <si>
    <t>no CCB at FNI (Jan-June)</t>
  </si>
  <si>
    <t>no CCB at FNI (July-Dec)</t>
  </si>
  <si>
    <t>GST Credit</t>
  </si>
  <si>
    <t>basic credit</t>
  </si>
  <si>
    <t>credit for spouce</t>
  </si>
  <si>
    <t>credit for kids</t>
  </si>
  <si>
    <t>family net income treshold</t>
  </si>
  <si>
    <t>rate of net income difference</t>
  </si>
  <si>
    <t>annual credit</t>
  </si>
  <si>
    <t>*link to table 2 in main page</t>
  </si>
  <si>
    <t>CCB (jan- jun)</t>
  </si>
  <si>
    <t>CCB (july - dec)</t>
  </si>
  <si>
    <t>again this felt more organic to simply create a few more tables which could easily be update on there own and then update table 4 on the main sheet automatically.</t>
  </si>
  <si>
    <t>values in bold are used</t>
  </si>
  <si>
    <t xml:space="preserve">Employment Insurance </t>
  </si>
  <si>
    <t xml:space="preserve">Employment Insurance rate </t>
  </si>
  <si>
    <t>*these will change for the next few years</t>
  </si>
  <si>
    <t>EI premiums</t>
  </si>
  <si>
    <t>Canadian Pension Plan</t>
  </si>
  <si>
    <t>CPP rate</t>
  </si>
  <si>
    <t>basic exemption</t>
  </si>
  <si>
    <t>CCP premiums</t>
  </si>
  <si>
    <t>Income tax credits</t>
  </si>
  <si>
    <t>Provincial</t>
  </si>
  <si>
    <t>Federal</t>
  </si>
  <si>
    <t>basic personal ammount</t>
  </si>
  <si>
    <t>spouce equivalence amount</t>
  </si>
  <si>
    <t>age amount</t>
  </si>
  <si>
    <t>disability amount</t>
  </si>
  <si>
    <t>medical expense rate</t>
  </si>
  <si>
    <t>non-refundable tax credit rate</t>
  </si>
  <si>
    <t>canada employment amount</t>
  </si>
  <si>
    <t>min range</t>
  </si>
  <si>
    <t>max range</t>
  </si>
  <si>
    <t>rate</t>
  </si>
  <si>
    <t>*income specific, if the income goes above this, it will be wrong</t>
  </si>
  <si>
    <t>federal working income credit</t>
  </si>
  <si>
    <t>base amount</t>
  </si>
  <si>
    <t>WITB rate</t>
  </si>
  <si>
    <t>maximum benefit</t>
  </si>
  <si>
    <t>income to zero</t>
  </si>
  <si>
    <t>base treshold</t>
  </si>
  <si>
    <t>rate for WITB reduction</t>
  </si>
  <si>
    <t>WITB</t>
  </si>
  <si>
    <t>parent 2</t>
  </si>
  <si>
    <t>Provincial income tax rates*</t>
  </si>
  <si>
    <t>Federal income tax rates*</t>
  </si>
  <si>
    <t>federal income tax calculation</t>
  </si>
  <si>
    <t>EI premium</t>
  </si>
  <si>
    <t>CPP premiums</t>
  </si>
  <si>
    <t>Canada employment</t>
  </si>
  <si>
    <t>parent 1</t>
  </si>
  <si>
    <t>*don’t touch, just to show the calculation</t>
  </si>
  <si>
    <t>tuition</t>
  </si>
  <si>
    <t>medical expenses</t>
  </si>
  <si>
    <t>provincial income tax calculation</t>
  </si>
  <si>
    <t>**2 courses: effective 1 jan 2017 : only tuition, no books or other</t>
  </si>
  <si>
    <t xml:space="preserve">Federal Tuition Credits </t>
  </si>
  <si>
    <t>base tax payable</t>
  </si>
  <si>
    <t>non-refundable tax credits</t>
  </si>
  <si>
    <t>refundable tax cretits</t>
  </si>
  <si>
    <t>net federal tax</t>
  </si>
  <si>
    <t>add</t>
  </si>
  <si>
    <t>**</t>
  </si>
  <si>
    <t>net provincial tax</t>
  </si>
  <si>
    <t>refundable medical expense supplement</t>
  </si>
  <si>
    <t>family income too high - did not cal</t>
  </si>
  <si>
    <t>claimable</t>
  </si>
  <si>
    <t>income too high</t>
  </si>
  <si>
    <t>calculated in main sheet</t>
  </si>
  <si>
    <t>NL Power</t>
  </si>
  <si>
    <t>Consumer Price Index, annual average, not seasonally adjusted 1 2</t>
  </si>
  <si>
    <t>Table: 18-10-0005-01 (formerly CANSIM 326-0021)</t>
  </si>
  <si>
    <t>Geography: Canada, Province or territory, Census subdivision, Census metropolitan area, Census metropolitan area part</t>
  </si>
  <si>
    <t>Newfoundland and Labrador</t>
  </si>
  <si>
    <t>St. John's, Newfoundland and Labrador 4</t>
  </si>
  <si>
    <t>Products and product groups3</t>
  </si>
  <si>
    <t>2002=100</t>
  </si>
  <si>
    <t>Food 8</t>
  </si>
  <si>
    <t>..</t>
  </si>
  <si>
    <t>Shelter 9</t>
  </si>
  <si>
    <t>Clothing and footwear</t>
  </si>
  <si>
    <t>Home entertainment equipment, parts and services</t>
  </si>
  <si>
    <t>All-items (1992=100)</t>
  </si>
  <si>
    <t>.. : not available for a specific reference period</t>
  </si>
  <si>
    <t>t : terminated</t>
  </si>
  <si>
    <t>This table replaces CANSIM table 326-0002 which was archived with the release of April 2007 data.</t>
  </si>
  <si>
    <t>Formerly Ottawa (Ottawa-Gatineau, Ontario part), represents Ottawa only.</t>
  </si>
  <si>
    <t>The relatively small size of the housing market in these two cities makes it difficult to construct reliable price indexes for new houses. To compensate, the price movements of rental accommodation are used to approximate the price movements of new houses. The rent information itself is collected using different pricing frequencies and collection methods than in the rest of the country. Because of these problems, the indexes for rented accommodation, and owned accommodation are not published for these two cities. Further, the all-items indexes published for these two cities are not strictly comparable with the same indexes for the provinces or the other 16 cities.</t>
  </si>
  <si>
    <t>Data for Iqaluit are on a December 2002=100 base (200212=100) and the Standard Geographical Classification (SGC) 2001. Previous to April 1, 1999, the town of Iqaluit formed part of the Northwest Territories. On April 1, 1999, the town of Iqaluit formed part of the newly-created territory of Nunavut.</t>
  </si>
  <si>
    <t>Food includes non-alcoholic beverages.</t>
  </si>
  <si>
    <t>Part of the increase first recorded in the shelter index for Yellowknife for December 2004 inadvertently reflected rent increases that actually occurred earlier. As a result, the change in the shelter index was overstated in December 2004, and was understated in the previous two years. The shelter index series for Yellowknife has been corrected from December 2002. In addition, the Yellowknife All-items consumer price index (CPI) and some Yellowknife special aggregate index series have also changed. Data for Canada and all other provinces and territories were not affected.</t>
  </si>
  <si>
    <t>Revision of the methodology of the Rent component of the Consumer Price Index (CPI) beginning with the July 2009 CPI - http://www23.statcan.gc.ca/imdb-bmdi/document/2301_D41_T9_V1-eng.pdf.</t>
  </si>
  <si>
    <t>Revision of the methodology of the home insurance component of the Consumer Price Index (CPI) beginning with the February 2008 CPI - http://www23.statcan.gc.ca/imdb-bmdi/document/2301_D39_T9_V1-eng.pdf.</t>
  </si>
  <si>
    <t>Eight of the most volatile components identified by the Bank of Canada include: fruit, fruit preparations and nuts; vegetables and vegetable preparations; mortgage interest cost; natural gas; fuel oil and other fuels; gasoline; inter-city transportation; and tobacco products and smokers' supplies.</t>
  </si>
  <si>
    <t>The special aggregate 'energy' includes: 'electricity', 'natural gas', 'fuel oil and other fuels', 'gasoline', and 'fuel, parts and accessories for recreational vehicles'.</t>
  </si>
  <si>
    <t>The 1986 basket content was divided into seven major components. With the introduction of the 1992 basket, the 'housing' component from the 1986 basket definition was split into two components: 'shelter' and 'household operations, furnishings and equipment'. This brought the number of major components to a total of eight. Also, the definition of 'shelter' was changed. The traveller accommodation category, which was part of the 1986 definition of 'shelter', was moved to 'recreation' with the introduction of the 1992 basket. To provide some continuity certain aggregates were reconstructed using their 1986 basket definitions.</t>
  </si>
  <si>
    <t>Goods are physical or tangible commodities usually classified according to their life span into non-durable goods, semi-durable goods and durable goods. Non-durable goods are those goods that can be used up entirely in less than a year, assuming normal usage. For example, fresh food products, disposable cameras and gasoline are non-durable goods. Semi-durable goods are those goods that may last less than 12 months or greater than 12 months depending on the purpose to which they are put. For example, clothing, footwear and household textiles are semi-durable goods. Durable goods are those goods which may be used repeatedly or continuously over more than a year, assuming normal usage. For example, cars, audio and video equipment and furniture are durable goods.</t>
  </si>
  <si>
    <t>A service in the Consumer Price Index (CPI) is characterized by valuable work performed by an individual or organization on behalf of a consumer, for example, car tune-ups, haircuts and city public transportation. Transactions classified as a service may include the cost of goods by their nature. Examples include food in restaurant food services and materials in clothing repair services.</t>
  </si>
  <si>
    <t>How to cite: Statistics Canada. Table 18-10-0005-01 Consumer Price Index, annual average, not seasonally adjusted</t>
  </si>
  <si>
    <t>https://www150.statcan.gc.ca/t1/tbl1/en/tv.action?pid=1810000501</t>
  </si>
  <si>
    <t>Summer &amp; March Break (7y/o) (7 weeks)</t>
  </si>
  <si>
    <t xml:space="preserve">Living Wage Calculation: St. John's 2019 </t>
  </si>
  <si>
    <t>Market Basket Measure (MBM) thresholds for the reference family by Market Basket Measure region, component and base year 1 2 3</t>
  </si>
  <si>
    <t>Table: 11-10-0066-01</t>
  </si>
  <si>
    <t>Geography: Census metropolitan area, Census agglomeration, Census metropolitan area part</t>
  </si>
  <si>
    <t>2017 constant dollars</t>
  </si>
  <si>
    <t>2008 base</t>
  </si>
  <si>
    <t>Geography4</t>
  </si>
  <si>
    <t>Newfoundland and Labrador, rural</t>
  </si>
  <si>
    <t>Newfoundland and Labrador, population under 30,000</t>
  </si>
  <si>
    <t>St. John's, Newfoundland and Labrador</t>
  </si>
  <si>
    <t>Source: Income Statistics Division, Statistics Canada</t>
  </si>
  <si>
    <t>The Market Basket Measure (MBM), developed by Employment and Social Development Canada, attempts to measure a standard of living that is a compromise between subsistence and social inclusion. It also reflects differences in living costs across regions. The MBM represents the cost of a basket that includes: a nutritious diet, clothing and footwear, shelter, transportation, and other necessary goods and services (such as personal care items or household supplies). The cost of the basket is compared to disposable income for each family to determine low income rates.</t>
  </si>
  <si>
    <t>This table has replaced archived table 11-10-0230-01.</t>
  </si>
  <si>
    <t>Rural areas: includes communities with a population of less than 1,000 or with a population density less than 400 persons per square kilometer that are located outside Census metropolitan areas (CMAs) or Census agglomerations (CAs). Population under 30,000 : CAs below 30,000 and population centres below 10,000 persons. Population 30,000 to 99,999 : CAs between 30,000 and 99,999 persons. Population 100,000 to 499,999: CMAs between 100,000 and 499,999. Population 500,000 and over: CMAs with 500,000 or more persons. Specific city name refers to the population within the CMA or CA.</t>
  </si>
  <si>
    <t>How to cite: Statistics Canada. Table 11-10-0066-01 Market Basket Measure (MBM) thresholds for the reference family by Market Basket Measure region, component and base year</t>
  </si>
  <si>
    <t>https://www150.statcan.gc.ca/t1/tbl1/en/tv.action?pid=1110006601</t>
  </si>
  <si>
    <t>Other %</t>
  </si>
  <si>
    <t>Private Vehicle (MBM 2017, CPI adjusted)</t>
  </si>
  <si>
    <t>Cost per unit (College of the North Atlantic)</t>
  </si>
  <si>
    <t>Textbook allowance (avg)</t>
  </si>
  <si>
    <t>Before/After School (7y/o) 200 school days</t>
  </si>
  <si>
    <t>14 PD, Dec Break, Nonstat Holidays (30 days)</t>
  </si>
  <si>
    <t xml:space="preserve">Total Monthly </t>
  </si>
  <si>
    <t>Total monthly</t>
  </si>
  <si>
    <t>Basic health insurance quoted monthly</t>
  </si>
  <si>
    <t>St. John's Family Expenses 2018</t>
  </si>
  <si>
    <t>****these are rates for 2018</t>
  </si>
  <si>
    <t>https://www.fin.gov.nl.ca/fin/tax_programs_incentives/personal/personalincometax.html</t>
  </si>
  <si>
    <t>NL Child Benefit</t>
  </si>
  <si>
    <t>NL child benefit</t>
  </si>
  <si>
    <t>fed treshold</t>
  </si>
  <si>
    <t>prov tresh</t>
  </si>
  <si>
    <t>child care amount</t>
  </si>
  <si>
    <t>tuition amounts</t>
  </si>
  <si>
    <t>July 2018 to June 2019</t>
  </si>
  <si>
    <t>2018 LW Income</t>
  </si>
  <si>
    <t>Child care max</t>
  </si>
  <si>
    <t>NL childcare amount</t>
  </si>
  <si>
    <t xml:space="preserve">NL still has the </t>
  </si>
  <si>
    <t>2018 good</t>
  </si>
  <si>
    <t>said rate</t>
  </si>
  <si>
    <t>just ref</t>
  </si>
  <si>
    <t>john</t>
  </si>
  <si>
    <t>jane</t>
  </si>
  <si>
    <t>food  annual St. John's NLMBM 2015</t>
  </si>
  <si>
    <t>2016 thresholds reflect the 2016 Census data so the threshold change from 2015 to 2016 is much different than simply the inflation change. </t>
  </si>
  <si>
    <t>St. John's NL MBM 2015</t>
  </si>
  <si>
    <t>Other goods and services</t>
  </si>
  <si>
    <t xml:space="preserve">Food Costs 2018 </t>
  </si>
  <si>
    <t xml:space="preserve">Total monthly </t>
  </si>
  <si>
    <t>Clothing NL MBM 2015 CPI adjusted annual</t>
  </si>
  <si>
    <t>Communications</t>
  </si>
  <si>
    <t>Shelter (includes power)</t>
  </si>
  <si>
    <t xml:space="preserve">  + CCB, GST credit</t>
  </si>
  <si>
    <t>Total NL MBM Threshold</t>
  </si>
  <si>
    <t>Winter months addtional costs</t>
  </si>
  <si>
    <t>Annual total</t>
  </si>
  <si>
    <t>Monthly total</t>
  </si>
  <si>
    <t>Child Care Subsidy* (income too high)</t>
  </si>
  <si>
    <t>Total annual adjusted by inflation</t>
  </si>
  <si>
    <t>Rent (CMHC, Avg, 3 broom+, Oct 2018)</t>
  </si>
  <si>
    <t xml:space="preserve"> 'Other' Annual Costs</t>
  </si>
  <si>
    <t>Total Monthly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</si>
</sst>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quot;$&quot;#,##0;[Red]\-&quot;$&quot;#,##0"/>
    <numFmt numFmtId="165" formatCode="_-&quot;$&quot;* #,##0.00_-;\-&quot;$&quot;* #,##0.00_-;_-&quot;$&quot;* &quot;-&quot;??_-;_-@_-"/>
    <numFmt numFmtId="166" formatCode="&quot;$&quot;#,##0.00"/>
    <numFmt numFmtId="167" formatCode="0.0%"/>
    <numFmt numFmtId="168" formatCode="0.000"/>
  </numFmts>
  <fonts count="47" x14ac:knownFonts="1">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10"/>
      <name val="Verdana"/>
      <family val="2"/>
    </font>
    <font>
      <b/>
      <sz val="11"/>
      <color indexed="8"/>
      <name val="Calibri"/>
      <family val="2"/>
    </font>
    <font>
      <sz val="8"/>
      <name val="Calibri"/>
      <family val="2"/>
    </font>
    <font>
      <sz val="11"/>
      <name val="Calibri"/>
      <family val="2"/>
    </font>
    <font>
      <sz val="11"/>
      <color rgb="FF006100"/>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sz val="16"/>
      <color indexed="54"/>
      <name val="Calibri"/>
      <family val="2"/>
    </font>
    <font>
      <sz val="10"/>
      <color theme="0"/>
      <name val="Arial"/>
      <family val="2"/>
    </font>
    <font>
      <b/>
      <sz val="11"/>
      <name val="Arial"/>
      <family val="2"/>
    </font>
    <font>
      <sz val="11"/>
      <color theme="1"/>
      <name val="Calibri"/>
      <family val="2"/>
      <scheme val="minor"/>
    </font>
    <font>
      <sz val="10"/>
      <name val="Arial"/>
      <family val="2"/>
    </font>
    <font>
      <b/>
      <sz val="10"/>
      <name val="Arial"/>
      <family val="2"/>
    </font>
    <font>
      <sz val="11"/>
      <name val="Calibri"/>
      <family val="2"/>
    </font>
    <font>
      <sz val="11"/>
      <name val="Calibri"/>
      <family val="2"/>
      <scheme val="minor"/>
    </font>
    <font>
      <b/>
      <sz val="11"/>
      <name val="Calibri"/>
      <family val="2"/>
    </font>
    <font>
      <b/>
      <sz val="11"/>
      <color indexed="8"/>
      <name val="Calibri"/>
      <family val="2"/>
    </font>
    <font>
      <b/>
      <sz val="14"/>
      <color theme="1"/>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b/>
      <sz val="13"/>
      <color theme="1"/>
      <name val="Calibri"/>
      <family val="2"/>
      <scheme val="minor"/>
    </font>
    <font>
      <b/>
      <sz val="10"/>
      <name val="Verdana"/>
      <family val="2"/>
    </font>
    <font>
      <b/>
      <sz val="11"/>
      <color rgb="FF3F3F76"/>
      <name val="Calibri"/>
      <family val="2"/>
      <scheme val="minor"/>
    </font>
    <font>
      <u/>
      <sz val="10"/>
      <name val="Verdana"/>
      <family val="2"/>
    </font>
    <font>
      <u/>
      <sz val="11"/>
      <color theme="1"/>
      <name val="Calibri"/>
      <family val="2"/>
      <scheme val="minor"/>
    </font>
    <font>
      <b/>
      <u/>
      <sz val="12"/>
      <color theme="1"/>
      <name val="Calibri"/>
      <family val="2"/>
      <scheme val="minor"/>
    </font>
    <font>
      <b/>
      <sz val="12"/>
      <color theme="1"/>
      <name val="Calibri"/>
      <family val="2"/>
      <scheme val="minor"/>
    </font>
    <font>
      <b/>
      <sz val="9"/>
      <color indexed="81"/>
      <name val="Tahoma"/>
      <family val="2"/>
    </font>
    <font>
      <sz val="9"/>
      <color indexed="81"/>
      <name val="Tahoma"/>
      <family val="2"/>
    </font>
    <font>
      <b/>
      <sz val="11"/>
      <name val="Calibri"/>
      <family val="2"/>
      <scheme val="minor"/>
    </font>
    <font>
      <b/>
      <sz val="9"/>
      <color rgb="FF000000"/>
      <name val="Tahoma"/>
      <family val="2"/>
    </font>
    <font>
      <sz val="9"/>
      <color rgb="FF000000"/>
      <name val="Tahoma"/>
      <family val="2"/>
    </font>
    <font>
      <sz val="11"/>
      <color rgb="FF9C6500"/>
      <name val="Calibri"/>
      <family val="2"/>
      <scheme val="minor"/>
    </font>
    <font>
      <sz val="19.8"/>
      <color rgb="FF333333"/>
      <name val="Arial"/>
      <family val="2"/>
    </font>
    <font>
      <sz val="11"/>
      <color theme="1"/>
      <name val="Calibri"/>
      <family val="2"/>
      <scheme val="minor"/>
    </font>
    <font>
      <sz val="11"/>
      <color rgb="FF1F497D"/>
      <name val="Calibri"/>
      <family val="2"/>
    </font>
  </fonts>
  <fills count="9">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14999847407452621"/>
        <bgColor theme="0" tint="-0.14999847407452621"/>
      </patternFill>
    </fill>
    <fill>
      <patternFill patternType="solid">
        <fgColor rgb="FFFFEB9C"/>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bottom style="double">
        <color rgb="FFFF8001"/>
      </bottom>
      <diagonal/>
    </border>
    <border>
      <left/>
      <right style="thin">
        <color auto="1"/>
      </right>
      <top/>
      <bottom style="double">
        <color rgb="FFFF8001"/>
      </bottom>
      <diagonal/>
    </border>
    <border>
      <left/>
      <right style="medium">
        <color auto="1"/>
      </right>
      <top/>
      <bottom/>
      <diagonal/>
    </border>
    <border>
      <left style="thin">
        <color auto="1"/>
      </left>
      <right/>
      <top style="double">
        <color rgb="FFFF8001"/>
      </top>
      <bottom style="double">
        <color rgb="FFFF8001"/>
      </bottom>
      <diagonal/>
    </border>
    <border>
      <left/>
      <right style="thin">
        <color auto="1"/>
      </right>
      <top style="double">
        <color rgb="FFFF8001"/>
      </top>
      <bottom style="double">
        <color rgb="FFFF8001"/>
      </bottom>
      <diagonal/>
    </border>
    <border>
      <left style="medium">
        <color auto="1"/>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style="medium">
        <color auto="1"/>
      </right>
      <top style="thin">
        <color rgb="FF7F7F7F"/>
      </top>
      <bottom style="thin">
        <color rgb="FF7F7F7F"/>
      </bottom>
      <diagonal/>
    </border>
    <border>
      <left style="thin">
        <color rgb="FF7F7F7F"/>
      </left>
      <right style="medium">
        <color auto="1"/>
      </right>
      <top style="thin">
        <color rgb="FF7F7F7F"/>
      </top>
      <bottom/>
      <diagonal/>
    </border>
    <border>
      <left style="thin">
        <color rgb="FF7F7F7F"/>
      </left>
      <right style="medium">
        <color auto="1"/>
      </right>
      <top style="thin">
        <color auto="1"/>
      </top>
      <bottom style="medium">
        <color auto="1"/>
      </bottom>
      <diagonal/>
    </border>
    <border>
      <left style="medium">
        <color auto="1"/>
      </left>
      <right/>
      <top style="thin">
        <color auto="1"/>
      </top>
      <bottom/>
      <diagonal/>
    </border>
    <border>
      <left style="thin">
        <color rgb="FF7F7F7F"/>
      </left>
      <right style="medium">
        <color auto="1"/>
      </right>
      <top style="thin">
        <color auto="1"/>
      </top>
      <bottom style="thin">
        <color rgb="FF7F7F7F"/>
      </bottom>
      <diagonal/>
    </border>
    <border>
      <left style="thin">
        <color rgb="FF7F7F7F"/>
      </left>
      <right style="medium">
        <color auto="1"/>
      </right>
      <top style="thin">
        <color rgb="FF7F7F7F"/>
      </top>
      <bottom style="medium">
        <color auto="1"/>
      </bottom>
      <diagonal/>
    </border>
    <border>
      <left style="thin">
        <color rgb="FF7F7F7F"/>
      </left>
      <right style="thin">
        <color rgb="FF7F7F7F"/>
      </right>
      <top style="thin">
        <color rgb="FF7F7F7F"/>
      </top>
      <bottom style="medium">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double">
        <color rgb="FFFF8001"/>
      </bottom>
      <diagonal/>
    </border>
    <border>
      <left style="medium">
        <color indexed="64"/>
      </left>
      <right style="thin">
        <color auto="1"/>
      </right>
      <top style="thin">
        <color auto="1"/>
      </top>
      <bottom style="medium">
        <color indexed="64"/>
      </bottom>
      <diagonal/>
    </border>
  </borders>
  <cellStyleXfs count="35">
    <xf numFmtId="0" fontId="0" fillId="0" borderId="0"/>
    <xf numFmtId="165" fontId="1" fillId="0" borderId="0" applyFont="0" applyFill="0" applyBorder="0" applyAlignment="0" applyProtection="0"/>
    <xf numFmtId="0" fontId="9"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9" fontId="1" fillId="0" borderId="0" applyFon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165" fontId="1" fillId="0" borderId="0" applyFont="0" applyFill="0" applyBorder="0" applyAlignment="0" applyProtection="0"/>
    <xf numFmtId="0" fontId="27" fillId="4" borderId="13" applyNumberFormat="0" applyAlignment="0" applyProtection="0"/>
    <xf numFmtId="0" fontId="28" fillId="5" borderId="13" applyNumberFormat="0" applyAlignment="0" applyProtection="0"/>
    <xf numFmtId="0" fontId="29" fillId="0" borderId="14" applyNumberFormat="0" applyFill="0" applyAlignment="0" applyProtection="0"/>
    <xf numFmtId="0" fontId="30" fillId="6" borderId="15" applyNumberFormat="0" applyAlignment="0" applyProtection="0"/>
    <xf numFmtId="0" fontId="43" fillId="8" borderId="0" applyNumberFormat="0" applyBorder="0" applyAlignment="0" applyProtection="0"/>
  </cellStyleXfs>
  <cellXfs count="308">
    <xf numFmtId="0" fontId="0" fillId="0" borderId="0" xfId="0"/>
    <xf numFmtId="0" fontId="2" fillId="0" borderId="0" xfId="0" applyFont="1" applyFill="1"/>
    <xf numFmtId="2" fontId="2" fillId="0" borderId="0" xfId="0" applyNumberFormat="1" applyFont="1" applyFill="1"/>
    <xf numFmtId="0" fontId="3" fillId="0" borderId="0" xfId="0" applyFont="1" applyFill="1"/>
    <xf numFmtId="0" fontId="2"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Border="1" applyAlignment="1">
      <alignment horizontal="right"/>
    </xf>
    <xf numFmtId="0" fontId="2" fillId="0" borderId="0" xfId="0" applyFont="1" applyFill="1" applyBorder="1" applyAlignment="1">
      <alignment horizontal="right"/>
    </xf>
    <xf numFmtId="0" fontId="2" fillId="0" borderId="1" xfId="0" applyFont="1" applyFill="1" applyBorder="1" applyAlignment="1">
      <alignment horizontal="right"/>
    </xf>
    <xf numFmtId="166" fontId="2" fillId="0" borderId="1" xfId="0" applyNumberFormat="1" applyFont="1" applyFill="1" applyBorder="1" applyAlignment="1">
      <alignment horizontal="right" vertical="center"/>
    </xf>
    <xf numFmtId="0" fontId="2" fillId="0" borderId="1" xfId="0" applyFont="1" applyFill="1" applyBorder="1" applyAlignment="1">
      <alignment horizontal="right" vertical="center"/>
    </xf>
    <xf numFmtId="168" fontId="2" fillId="0" borderId="0" xfId="0" applyNumberFormat="1" applyFont="1" applyFill="1" applyBorder="1" applyAlignment="1">
      <alignment horizontal="right"/>
    </xf>
    <xf numFmtId="0" fontId="2" fillId="0" borderId="0" xfId="0" applyFont="1" applyFill="1" applyBorder="1" applyAlignment="1">
      <alignment horizontal="center" wrapText="1"/>
    </xf>
    <xf numFmtId="166" fontId="2" fillId="0" borderId="1" xfId="0" applyNumberFormat="1" applyFont="1" applyFill="1" applyBorder="1"/>
    <xf numFmtId="0" fontId="2" fillId="0" borderId="0" xfId="0" applyFont="1" applyFill="1" applyBorder="1" applyAlignment="1">
      <alignment horizontal="center" vertical="center" wrapText="1"/>
    </xf>
    <xf numFmtId="168" fontId="2" fillId="0" borderId="0" xfId="0" applyNumberFormat="1" applyFont="1" applyFill="1" applyBorder="1" applyAlignment="1">
      <alignment horizontal="left"/>
    </xf>
    <xf numFmtId="0" fontId="2" fillId="0" borderId="0" xfId="0" applyFont="1" applyFill="1" applyAlignment="1">
      <alignment horizontal="center"/>
    </xf>
    <xf numFmtId="2" fontId="2" fillId="0" borderId="0" xfId="0" applyNumberFormat="1" applyFont="1" applyFill="1" applyBorder="1"/>
    <xf numFmtId="2" fontId="3" fillId="0" borderId="0" xfId="0" applyNumberFormat="1" applyFont="1" applyFill="1" applyBorder="1" applyAlignment="1">
      <alignment horizontal="center"/>
    </xf>
    <xf numFmtId="2" fontId="3" fillId="0" borderId="0" xfId="0" applyNumberFormat="1" applyFont="1" applyFill="1" applyBorder="1"/>
    <xf numFmtId="0" fontId="3" fillId="0" borderId="0" xfId="0" applyFont="1" applyFill="1" applyBorder="1"/>
    <xf numFmtId="0" fontId="2" fillId="0" borderId="0" xfId="0" applyFont="1" applyFill="1" applyBorder="1" applyAlignment="1">
      <alignment horizontal="center"/>
    </xf>
    <xf numFmtId="1" fontId="2" fillId="0" borderId="1" xfId="0" applyNumberFormat="1" applyFont="1" applyFill="1" applyBorder="1"/>
    <xf numFmtId="2" fontId="5" fillId="0" borderId="1" xfId="0" applyNumberFormat="1" applyFont="1" applyBorder="1"/>
    <xf numFmtId="166" fontId="2" fillId="0" borderId="1" xfId="2" applyNumberFormat="1" applyFont="1" applyFill="1" applyBorder="1"/>
    <xf numFmtId="0" fontId="2" fillId="0" borderId="4" xfId="0" applyFont="1" applyFill="1" applyBorder="1" applyAlignment="1">
      <alignment horizontal="left"/>
    </xf>
    <xf numFmtId="2" fontId="11" fillId="0" borderId="0" xfId="4" applyNumberFormat="1" applyFill="1" applyBorder="1" applyAlignment="1">
      <alignment horizontal="left"/>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1" xfId="0" applyFont="1" applyFill="1" applyBorder="1" applyAlignment="1">
      <alignment horizontal="right" vertical="center"/>
    </xf>
    <xf numFmtId="166" fontId="3" fillId="0" borderId="1" xfId="0" applyNumberFormat="1" applyFont="1" applyFill="1" applyBorder="1"/>
    <xf numFmtId="166" fontId="3" fillId="0" borderId="1" xfId="2" applyNumberFormat="1" applyFont="1" applyFill="1" applyBorder="1"/>
    <xf numFmtId="166" fontId="3" fillId="0" borderId="1" xfId="0" applyNumberFormat="1" applyFont="1" applyFill="1" applyBorder="1" applyAlignment="1">
      <alignment horizontal="right"/>
    </xf>
    <xf numFmtId="0" fontId="3" fillId="0" borderId="3" xfId="0" applyFont="1" applyFill="1" applyBorder="1" applyAlignment="1">
      <alignment horizontal="right"/>
    </xf>
    <xf numFmtId="0" fontId="3" fillId="0" borderId="4" xfId="0" applyFont="1" applyFill="1" applyBorder="1" applyAlignment="1">
      <alignment horizontal="right"/>
    </xf>
    <xf numFmtId="3" fontId="0" fillId="0" borderId="0" xfId="0" applyNumberFormat="1"/>
    <xf numFmtId="164" fontId="0" fillId="0" borderId="0" xfId="0" applyNumberFormat="1"/>
    <xf numFmtId="0" fontId="0" fillId="0" borderId="1" xfId="0" applyBorder="1"/>
    <xf numFmtId="166" fontId="0" fillId="0" borderId="0" xfId="0" applyNumberFormat="1"/>
    <xf numFmtId="167" fontId="2" fillId="0" borderId="0" xfId="2" applyNumberFormat="1" applyFont="1" applyFill="1" applyBorder="1" applyAlignment="1">
      <alignment horizontal="center"/>
    </xf>
    <xf numFmtId="166" fontId="0" fillId="0" borderId="1" xfId="0" applyNumberFormat="1" applyBorder="1"/>
    <xf numFmtId="0" fontId="4" fillId="0" borderId="0" xfId="0" applyFont="1" applyFill="1"/>
    <xf numFmtId="0" fontId="0" fillId="0" borderId="0" xfId="0"/>
    <xf numFmtId="0" fontId="13" fillId="0" borderId="0" xfId="0" applyFont="1"/>
    <xf numFmtId="0" fontId="3" fillId="0" borderId="4" xfId="0" applyFont="1" applyFill="1" applyBorder="1" applyAlignment="1">
      <alignment horizontal="center"/>
    </xf>
    <xf numFmtId="0" fontId="0" fillId="0" borderId="0" xfId="0" applyAlignment="1">
      <alignment horizontal="center"/>
    </xf>
    <xf numFmtId="166" fontId="13" fillId="0" borderId="1" xfId="1" applyNumberFormat="1" applyFont="1" applyBorder="1"/>
    <xf numFmtId="166" fontId="0" fillId="0" borderId="1" xfId="1" applyNumberFormat="1" applyFont="1" applyBorder="1"/>
    <xf numFmtId="0" fontId="17" fillId="0" borderId="0" xfId="0" applyFont="1"/>
    <xf numFmtId="0" fontId="3" fillId="0" borderId="4" xfId="0" applyFont="1" applyFill="1" applyBorder="1"/>
    <xf numFmtId="0" fontId="2" fillId="0" borderId="4" xfId="2" applyFont="1" applyFill="1" applyBorder="1"/>
    <xf numFmtId="0" fontId="2" fillId="0" borderId="4" xfId="2" applyFont="1" applyFill="1" applyBorder="1" applyAlignment="1">
      <alignment horizontal="left"/>
    </xf>
    <xf numFmtId="167" fontId="2" fillId="0" borderId="3" xfId="2" applyNumberFormat="1" applyFont="1" applyFill="1" applyBorder="1" applyAlignment="1">
      <alignment horizontal="center"/>
    </xf>
    <xf numFmtId="0" fontId="3" fillId="0" borderId="8" xfId="0" applyFont="1" applyFill="1" applyBorder="1"/>
    <xf numFmtId="2" fontId="3" fillId="0" borderId="9" xfId="0" applyNumberFormat="1"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xf numFmtId="166" fontId="3" fillId="0" borderId="2" xfId="0" applyNumberFormat="1" applyFont="1" applyFill="1" applyBorder="1"/>
    <xf numFmtId="167" fontId="3" fillId="0" borderId="12" xfId="5" applyNumberFormat="1" applyFont="1" applyFill="1" applyBorder="1" applyAlignment="1">
      <alignment horizontal="center"/>
    </xf>
    <xf numFmtId="166" fontId="2" fillId="0" borderId="3" xfId="2" applyNumberFormat="1" applyFont="1" applyFill="1" applyBorder="1"/>
    <xf numFmtId="0" fontId="3" fillId="0" borderId="8" xfId="0" applyFont="1" applyFill="1" applyBorder="1" applyAlignment="1">
      <alignment horizontal="left"/>
    </xf>
    <xf numFmtId="166" fontId="3" fillId="0" borderId="12" xfId="0" applyNumberFormat="1" applyFont="1" applyFill="1" applyBorder="1"/>
    <xf numFmtId="0" fontId="2" fillId="0" borderId="4" xfId="0" applyFont="1" applyFill="1" applyBorder="1"/>
    <xf numFmtId="0" fontId="5" fillId="0" borderId="4" xfId="0" applyFont="1" applyBorder="1"/>
    <xf numFmtId="0" fontId="3" fillId="0" borderId="4" xfId="2" applyFont="1" applyFill="1" applyBorder="1"/>
    <xf numFmtId="0" fontId="2" fillId="0" borderId="3" xfId="0" applyFont="1" applyFill="1" applyBorder="1"/>
    <xf numFmtId="2" fontId="5" fillId="0" borderId="3" xfId="0" applyNumberFormat="1" applyFont="1" applyBorder="1"/>
    <xf numFmtId="166" fontId="3" fillId="0" borderId="3" xfId="2" applyNumberFormat="1" applyFont="1" applyFill="1" applyBorder="1"/>
    <xf numFmtId="166" fontId="2" fillId="0" borderId="3" xfId="0" applyNumberFormat="1" applyFont="1" applyFill="1" applyBorder="1"/>
    <xf numFmtId="0" fontId="3" fillId="0" borderId="8" xfId="0" applyFont="1" applyFill="1" applyBorder="1" applyAlignment="1">
      <alignment horizontal="center"/>
    </xf>
    <xf numFmtId="0" fontId="2" fillId="0" borderId="11" xfId="0" applyFont="1" applyFill="1" applyBorder="1"/>
    <xf numFmtId="166" fontId="2" fillId="0" borderId="2" xfId="0" applyNumberFormat="1" applyFont="1" applyFill="1" applyBorder="1"/>
    <xf numFmtId="166" fontId="2" fillId="0" borderId="12" xfId="0" applyNumberFormat="1" applyFont="1" applyFill="1" applyBorder="1"/>
    <xf numFmtId="2" fontId="3" fillId="0" borderId="0" xfId="0" applyNumberFormat="1" applyFont="1" applyFill="1" applyBorder="1" applyAlignment="1">
      <alignment horizontal="right"/>
    </xf>
    <xf numFmtId="166" fontId="2" fillId="0" borderId="0" xfId="1" applyNumberFormat="1" applyFont="1" applyFill="1" applyAlignment="1">
      <alignment horizontal="left"/>
    </xf>
    <xf numFmtId="166" fontId="2" fillId="0" borderId="0" xfId="0" applyNumberFormat="1" applyFont="1" applyFill="1"/>
    <xf numFmtId="0" fontId="2" fillId="0" borderId="3" xfId="0" applyFont="1" applyFill="1" applyBorder="1" applyAlignment="1">
      <alignment horizontal="left"/>
    </xf>
    <xf numFmtId="0" fontId="11" fillId="0" borderId="0" xfId="4" applyFill="1" applyBorder="1" applyAlignment="1">
      <alignment horizontal="left"/>
    </xf>
    <xf numFmtId="0" fontId="19" fillId="0" borderId="0" xfId="0" applyFont="1"/>
    <xf numFmtId="0" fontId="20" fillId="0" borderId="0" xfId="0" applyFont="1" applyFill="1" applyBorder="1"/>
    <xf numFmtId="0" fontId="20" fillId="0" borderId="1" xfId="0" applyFont="1" applyFill="1" applyBorder="1" applyAlignment="1">
      <alignment horizontal="left"/>
    </xf>
    <xf numFmtId="0" fontId="21" fillId="0" borderId="1" xfId="0" applyFont="1" applyFill="1" applyBorder="1" applyAlignment="1">
      <alignment horizontal="left"/>
    </xf>
    <xf numFmtId="2" fontId="20" fillId="0" borderId="1" xfId="0" applyNumberFormat="1" applyFont="1" applyFill="1" applyBorder="1" applyAlignment="1">
      <alignment horizontal="left"/>
    </xf>
    <xf numFmtId="0" fontId="23" fillId="0" borderId="1" xfId="0" applyFont="1" applyBorder="1" applyAlignment="1">
      <alignment horizontal="left"/>
    </xf>
    <xf numFmtId="0" fontId="20" fillId="0" borderId="0" xfId="0" applyFont="1" applyFill="1" applyAlignment="1">
      <alignment horizontal="left"/>
    </xf>
    <xf numFmtId="0" fontId="21" fillId="0" borderId="0" xfId="0" applyFont="1" applyFill="1" applyAlignment="1">
      <alignment horizontal="center"/>
    </xf>
    <xf numFmtId="0" fontId="21" fillId="0" borderId="0" xfId="0" applyFont="1" applyFill="1"/>
    <xf numFmtId="0" fontId="21" fillId="0" borderId="0" xfId="0" applyFont="1" applyFill="1" applyAlignment="1">
      <alignment horizontal="left"/>
    </xf>
    <xf numFmtId="166" fontId="19" fillId="0" borderId="0" xfId="0" applyNumberFormat="1" applyFont="1"/>
    <xf numFmtId="0" fontId="20" fillId="0" borderId="0" xfId="0" applyFont="1" applyFill="1"/>
    <xf numFmtId="0" fontId="0" fillId="0" borderId="0" xfId="0" applyFont="1"/>
    <xf numFmtId="166" fontId="2" fillId="0" borderId="1" xfId="2" applyNumberFormat="1" applyFont="1" applyFill="1" applyBorder="1" applyAlignment="1">
      <alignment horizontal="right"/>
    </xf>
    <xf numFmtId="166" fontId="8" fillId="0" borderId="0" xfId="0" applyNumberFormat="1" applyFont="1" applyAlignment="1">
      <alignment horizontal="right"/>
    </xf>
    <xf numFmtId="166" fontId="3" fillId="0" borderId="2" xfId="0" applyNumberFormat="1" applyFont="1" applyFill="1" applyBorder="1" applyAlignment="1">
      <alignment horizontal="right"/>
    </xf>
    <xf numFmtId="166" fontId="2" fillId="0" borderId="0" xfId="1" applyNumberFormat="1" applyFont="1" applyFill="1" applyAlignment="1">
      <alignment horizontal="right"/>
    </xf>
    <xf numFmtId="0" fontId="20" fillId="0" borderId="0" xfId="0" applyFont="1" applyFill="1" applyBorder="1" applyAlignment="1">
      <alignment horizontal="right"/>
    </xf>
    <xf numFmtId="166" fontId="22" fillId="0" borderId="1" xfId="0" applyNumberFormat="1" applyFont="1" applyFill="1" applyBorder="1" applyAlignment="1">
      <alignment horizontal="right"/>
    </xf>
    <xf numFmtId="166" fontId="24" fillId="0" borderId="1" xfId="0" applyNumberFormat="1" applyFont="1" applyFill="1" applyBorder="1" applyAlignment="1">
      <alignment horizontal="right"/>
    </xf>
    <xf numFmtId="166" fontId="20" fillId="0" borderId="1" xfId="0" applyNumberFormat="1" applyFont="1" applyFill="1" applyBorder="1" applyAlignment="1">
      <alignment horizontal="right" vertical="center"/>
    </xf>
    <xf numFmtId="166" fontId="21" fillId="0" borderId="1" xfId="0" applyNumberFormat="1" applyFont="1" applyFill="1" applyBorder="1" applyAlignment="1">
      <alignment horizontal="right"/>
    </xf>
    <xf numFmtId="166" fontId="20" fillId="0" borderId="1" xfId="0" applyNumberFormat="1" applyFont="1" applyFill="1" applyBorder="1" applyAlignment="1">
      <alignment horizontal="right"/>
    </xf>
    <xf numFmtId="166" fontId="20" fillId="0" borderId="1" xfId="1" applyNumberFormat="1" applyFont="1" applyFill="1" applyBorder="1" applyAlignment="1">
      <alignment horizontal="right"/>
    </xf>
    <xf numFmtId="166" fontId="20" fillId="0" borderId="1" xfId="2" applyNumberFormat="1" applyFont="1" applyFill="1" applyBorder="1" applyAlignment="1">
      <alignment horizontal="right"/>
    </xf>
    <xf numFmtId="166" fontId="19" fillId="0" borderId="1" xfId="1" applyNumberFormat="1" applyFont="1" applyBorder="1" applyAlignment="1">
      <alignment horizontal="right"/>
    </xf>
    <xf numFmtId="166" fontId="21" fillId="0" borderId="1" xfId="0" applyNumberFormat="1" applyFont="1" applyFill="1" applyBorder="1" applyAlignment="1">
      <alignment horizontal="right" vertical="center"/>
    </xf>
    <xf numFmtId="0" fontId="19" fillId="0" borderId="0" xfId="0" applyFont="1" applyAlignment="1">
      <alignment horizontal="right"/>
    </xf>
    <xf numFmtId="166" fontId="25" fillId="0" borderId="1" xfId="0" applyNumberFormat="1" applyFont="1" applyBorder="1" applyAlignment="1">
      <alignment horizontal="right"/>
    </xf>
    <xf numFmtId="17" fontId="19" fillId="0" borderId="0" xfId="0" applyNumberFormat="1" applyFont="1" applyFill="1"/>
    <xf numFmtId="166" fontId="19" fillId="0" borderId="1" xfId="0" applyNumberFormat="1" applyFont="1" applyBorder="1" applyAlignment="1">
      <alignment horizontal="right"/>
    </xf>
    <xf numFmtId="166" fontId="20" fillId="0" borderId="0" xfId="2" applyNumberFormat="1" applyFont="1" applyFill="1" applyBorder="1" applyAlignment="1">
      <alignment horizontal="right"/>
    </xf>
    <xf numFmtId="0" fontId="16" fillId="0" borderId="0" xfId="3" applyFont="1" applyFill="1" applyBorder="1" applyAlignment="1"/>
    <xf numFmtId="0" fontId="2" fillId="0" borderId="1" xfId="0" applyFont="1" applyFill="1" applyBorder="1" applyAlignment="1">
      <alignment horizontal="left"/>
    </xf>
    <xf numFmtId="0" fontId="2" fillId="0" borderId="1" xfId="2" applyFont="1" applyFill="1" applyBorder="1" applyAlignment="1">
      <alignment horizontal="left"/>
    </xf>
    <xf numFmtId="0" fontId="0" fillId="0" borderId="1" xfId="0" applyBorder="1" applyAlignment="1">
      <alignment horizontal="right"/>
    </xf>
    <xf numFmtId="0" fontId="13" fillId="0" borderId="1" xfId="0" applyFont="1" applyBorder="1" applyAlignment="1">
      <alignment horizontal="right"/>
    </xf>
    <xf numFmtId="0" fontId="0" fillId="0" borderId="0" xfId="0" applyFont="1" applyFill="1" applyBorder="1"/>
    <xf numFmtId="0" fontId="13" fillId="0" borderId="0" xfId="0" applyFont="1" applyAlignment="1">
      <alignment horizontal="right"/>
    </xf>
    <xf numFmtId="10" fontId="19" fillId="0" borderId="0" xfId="5" applyNumberFormat="1" applyFont="1"/>
    <xf numFmtId="0" fontId="26" fillId="0" borderId="0" xfId="0" applyFont="1"/>
    <xf numFmtId="0" fontId="3" fillId="0" borderId="1" xfId="0" applyFont="1" applyFill="1" applyBorder="1" applyAlignment="1">
      <alignment horizontal="left"/>
    </xf>
    <xf numFmtId="8" fontId="3" fillId="0" borderId="1" xfId="0" applyNumberFormat="1" applyFont="1" applyFill="1" applyBorder="1" applyAlignment="1">
      <alignment horizontal="left"/>
    </xf>
    <xf numFmtId="0" fontId="19" fillId="0" borderId="1" xfId="0" applyFont="1" applyBorder="1" applyAlignment="1">
      <alignment horizontal="right"/>
    </xf>
    <xf numFmtId="8" fontId="2" fillId="0" borderId="1" xfId="0" applyNumberFormat="1" applyFont="1" applyFill="1" applyBorder="1" applyAlignment="1">
      <alignment horizontal="left"/>
    </xf>
    <xf numFmtId="0" fontId="21" fillId="0" borderId="1" xfId="2" applyFont="1" applyFill="1" applyBorder="1" applyAlignment="1">
      <alignment horizontal="left"/>
    </xf>
    <xf numFmtId="0" fontId="2" fillId="0" borderId="8" xfId="2" applyFont="1" applyFill="1" applyBorder="1"/>
    <xf numFmtId="166" fontId="0" fillId="7" borderId="1" xfId="1" applyNumberFormat="1" applyFont="1" applyFill="1" applyBorder="1"/>
    <xf numFmtId="166" fontId="13" fillId="7" borderId="1" xfId="1" applyNumberFormat="1" applyFont="1" applyFill="1" applyBorder="1"/>
    <xf numFmtId="2" fontId="31" fillId="0" borderId="0" xfId="4" applyNumberFormat="1" applyFont="1" applyFill="1" applyBorder="1" applyAlignment="1">
      <alignment horizontal="left"/>
    </xf>
    <xf numFmtId="0" fontId="4" fillId="0" borderId="0" xfId="0" applyFont="1"/>
    <xf numFmtId="0" fontId="13" fillId="0" borderId="18" xfId="0" applyFont="1" applyBorder="1"/>
    <xf numFmtId="0" fontId="13" fillId="0" borderId="19" xfId="0" applyFont="1" applyBorder="1"/>
    <xf numFmtId="0" fontId="13" fillId="0" borderId="20" xfId="0" applyFont="1" applyBorder="1"/>
    <xf numFmtId="0" fontId="3" fillId="0" borderId="18" xfId="0" applyFont="1" applyBorder="1"/>
    <xf numFmtId="0" fontId="3" fillId="0" borderId="19" xfId="0" applyFont="1" applyBorder="1" applyAlignment="1">
      <alignment horizontal="center"/>
    </xf>
    <xf numFmtId="0" fontId="3" fillId="0" borderId="20" xfId="0" applyFont="1" applyBorder="1" applyAlignment="1">
      <alignment horizontal="center"/>
    </xf>
    <xf numFmtId="0" fontId="0" fillId="0" borderId="21" xfId="0" applyBorder="1"/>
    <xf numFmtId="0" fontId="0" fillId="0" borderId="24" xfId="0" applyBorder="1"/>
    <xf numFmtId="0" fontId="29" fillId="0" borderId="14" xfId="32"/>
    <xf numFmtId="0" fontId="28" fillId="5" borderId="24" xfId="31" applyBorder="1"/>
    <xf numFmtId="4" fontId="29" fillId="0" borderId="25" xfId="32" applyNumberFormat="1" applyBorder="1"/>
    <xf numFmtId="4" fontId="29" fillId="0" borderId="26" xfId="32" applyNumberFormat="1" applyBorder="1"/>
    <xf numFmtId="4" fontId="29" fillId="0" borderId="22" xfId="32" applyNumberFormat="1" applyBorder="1"/>
    <xf numFmtId="4" fontId="29" fillId="0" borderId="23" xfId="32" applyNumberFormat="1" applyBorder="1"/>
    <xf numFmtId="4" fontId="0" fillId="0" borderId="16" xfId="0" applyNumberFormat="1" applyBorder="1"/>
    <xf numFmtId="4" fontId="0" fillId="0" borderId="17" xfId="0" applyNumberFormat="1" applyBorder="1"/>
    <xf numFmtId="0" fontId="0" fillId="0" borderId="0" xfId="0" applyBorder="1"/>
    <xf numFmtId="0" fontId="0" fillId="0" borderId="28" xfId="0" applyBorder="1"/>
    <xf numFmtId="0" fontId="0" fillId="0" borderId="29" xfId="0" applyBorder="1"/>
    <xf numFmtId="0" fontId="0" fillId="0" borderId="30" xfId="0" applyBorder="1"/>
    <xf numFmtId="0" fontId="27" fillId="4" borderId="31" xfId="30" applyBorder="1"/>
    <xf numFmtId="0" fontId="27" fillId="4" borderId="24" xfId="30" applyBorder="1"/>
    <xf numFmtId="10" fontId="27" fillId="4" borderId="31" xfId="30" applyNumberFormat="1" applyBorder="1"/>
    <xf numFmtId="9" fontId="27" fillId="4" borderId="32" xfId="30" applyNumberFormat="1" applyBorder="1"/>
    <xf numFmtId="0" fontId="28" fillId="5" borderId="33" xfId="31" applyBorder="1"/>
    <xf numFmtId="0" fontId="13" fillId="0" borderId="21" xfId="0" applyFont="1" applyBorder="1"/>
    <xf numFmtId="0" fontId="33" fillId="4" borderId="24" xfId="30" applyFont="1" applyBorder="1"/>
    <xf numFmtId="0" fontId="28" fillId="5" borderId="24" xfId="31" applyFont="1" applyBorder="1"/>
    <xf numFmtId="0" fontId="13" fillId="0" borderId="28" xfId="0" applyFont="1" applyBorder="1"/>
    <xf numFmtId="0" fontId="28" fillId="0" borderId="30" xfId="32" applyFont="1" applyBorder="1"/>
    <xf numFmtId="0" fontId="34" fillId="0" borderId="21" xfId="0" applyFont="1" applyFill="1" applyBorder="1"/>
    <xf numFmtId="0" fontId="5" fillId="0" borderId="21" xfId="0" applyFont="1" applyFill="1" applyBorder="1" applyAlignment="1">
      <alignment horizontal="left" indent="2"/>
    </xf>
    <xf numFmtId="0" fontId="0" fillId="0" borderId="21" xfId="0" applyBorder="1" applyAlignment="1">
      <alignment horizontal="left" indent="2"/>
    </xf>
    <xf numFmtId="0" fontId="35" fillId="0" borderId="21" xfId="0" applyFont="1" applyBorder="1"/>
    <xf numFmtId="10" fontId="0" fillId="0" borderId="24" xfId="0" applyNumberFormat="1" applyBorder="1"/>
    <xf numFmtId="10" fontId="27" fillId="4" borderId="32" xfId="30" applyNumberFormat="1" applyBorder="1"/>
    <xf numFmtId="0" fontId="0" fillId="0" borderId="34" xfId="0" applyFill="1" applyBorder="1" applyAlignment="1">
      <alignment horizontal="left"/>
    </xf>
    <xf numFmtId="4" fontId="28" fillId="5" borderId="35" xfId="31" applyNumberFormat="1" applyBorder="1"/>
    <xf numFmtId="0" fontId="0" fillId="0" borderId="21" xfId="0" applyFill="1" applyBorder="1" applyAlignment="1">
      <alignment horizontal="left"/>
    </xf>
    <xf numFmtId="4" fontId="28" fillId="5" borderId="32" xfId="31" applyNumberFormat="1" applyBorder="1"/>
    <xf numFmtId="4" fontId="28" fillId="5" borderId="31" xfId="31" applyNumberFormat="1" applyBorder="1"/>
    <xf numFmtId="4" fontId="28" fillId="5" borderId="36" xfId="31" applyNumberFormat="1" applyBorder="1"/>
    <xf numFmtId="0" fontId="0" fillId="0" borderId="27" xfId="0" applyBorder="1"/>
    <xf numFmtId="0" fontId="28" fillId="5" borderId="36" xfId="31" applyBorder="1"/>
    <xf numFmtId="0" fontId="0" fillId="0" borderId="0" xfId="0" applyAlignment="1"/>
    <xf numFmtId="0" fontId="32" fillId="0" borderId="18" xfId="0" applyFont="1" applyFill="1" applyBorder="1" applyAlignment="1">
      <alignment horizontal="center"/>
    </xf>
    <xf numFmtId="0" fontId="32" fillId="0" borderId="20" xfId="0" applyFont="1" applyFill="1" applyBorder="1" applyAlignment="1">
      <alignment horizontal="center"/>
    </xf>
    <xf numFmtId="166" fontId="27" fillId="4" borderId="13" xfId="30" applyNumberFormat="1" applyAlignment="1">
      <alignment horizontal="right"/>
    </xf>
    <xf numFmtId="166" fontId="29" fillId="7" borderId="14" xfId="32" applyNumberFormat="1" applyFill="1" applyAlignment="1">
      <alignment horizontal="right"/>
    </xf>
    <xf numFmtId="166" fontId="27" fillId="4" borderId="13" xfId="30" applyNumberFormat="1"/>
    <xf numFmtId="166" fontId="29" fillId="0" borderId="14" xfId="32" applyNumberFormat="1" applyFill="1"/>
    <xf numFmtId="166" fontId="29" fillId="0" borderId="14" xfId="32" applyNumberFormat="1" applyFill="1" applyAlignment="1">
      <alignment horizontal="right"/>
    </xf>
    <xf numFmtId="0" fontId="35" fillId="0" borderId="18" xfId="0" applyFont="1" applyBorder="1"/>
    <xf numFmtId="0" fontId="0" fillId="0" borderId="19" xfId="0" applyBorder="1"/>
    <xf numFmtId="0" fontId="0" fillId="0" borderId="20" xfId="0" applyBorder="1"/>
    <xf numFmtId="10" fontId="33" fillId="4" borderId="13" xfId="30" applyNumberFormat="1" applyFont="1" applyBorder="1"/>
    <xf numFmtId="2" fontId="28" fillId="5" borderId="37" xfId="31" applyNumberFormat="1" applyBorder="1"/>
    <xf numFmtId="0" fontId="33" fillId="4" borderId="13" xfId="30" applyFont="1" applyBorder="1"/>
    <xf numFmtId="0" fontId="0" fillId="0" borderId="28" xfId="0" applyFill="1" applyBorder="1"/>
    <xf numFmtId="0" fontId="28" fillId="5" borderId="37" xfId="31" applyBorder="1"/>
    <xf numFmtId="0" fontId="35" fillId="0" borderId="0" xfId="0" applyFont="1"/>
    <xf numFmtId="0" fontId="33" fillId="4" borderId="13" xfId="30" applyFont="1"/>
    <xf numFmtId="0" fontId="27" fillId="4" borderId="13" xfId="30"/>
    <xf numFmtId="9" fontId="33" fillId="4" borderId="13" xfId="30" applyNumberFormat="1" applyFont="1"/>
    <xf numFmtId="10" fontId="33" fillId="4" borderId="13" xfId="30" applyNumberFormat="1" applyFont="1"/>
    <xf numFmtId="1" fontId="33" fillId="4" borderId="13" xfId="30" applyNumberFormat="1" applyFont="1"/>
    <xf numFmtId="0" fontId="0" fillId="0" borderId="0" xfId="0" applyFill="1" applyBorder="1"/>
    <xf numFmtId="0" fontId="28" fillId="5" borderId="13" xfId="31"/>
    <xf numFmtId="10" fontId="27" fillId="4" borderId="13" xfId="30" applyNumberFormat="1"/>
    <xf numFmtId="0" fontId="35" fillId="0" borderId="0" xfId="0" applyFont="1" applyFill="1" applyBorder="1"/>
    <xf numFmtId="164" fontId="0" fillId="0" borderId="4" xfId="0" applyNumberFormat="1" applyBorder="1"/>
    <xf numFmtId="4" fontId="2" fillId="0" borderId="0" xfId="0" applyNumberFormat="1" applyFont="1" applyFill="1" applyBorder="1" applyAlignment="1">
      <alignment horizontal="right"/>
    </xf>
    <xf numFmtId="4" fontId="2" fillId="0" borderId="0" xfId="0" applyNumberFormat="1" applyFont="1" applyFill="1" applyAlignment="1">
      <alignment horizontal="right"/>
    </xf>
    <xf numFmtId="4" fontId="2" fillId="0" borderId="0" xfId="0" applyNumberFormat="1" applyFont="1" applyFill="1"/>
    <xf numFmtId="4" fontId="29" fillId="0" borderId="14" xfId="32" applyNumberFormat="1" applyFill="1" applyAlignment="1">
      <alignment horizontal="right"/>
    </xf>
    <xf numFmtId="166" fontId="29" fillId="0" borderId="14" xfId="32" applyNumberFormat="1" applyFill="1" applyAlignment="1">
      <alignment horizontal="right" vertical="center"/>
    </xf>
    <xf numFmtId="166" fontId="28" fillId="5" borderId="13" xfId="31" applyNumberFormat="1" applyAlignment="1">
      <alignment horizontal="right" vertical="center"/>
    </xf>
    <xf numFmtId="0" fontId="2" fillId="0" borderId="40" xfId="0" applyFont="1" applyFill="1" applyBorder="1" applyAlignment="1">
      <alignment horizontal="right" vertical="center"/>
    </xf>
    <xf numFmtId="166" fontId="29" fillId="0" borderId="41" xfId="32" applyNumberFormat="1" applyFill="1" applyBorder="1" applyAlignment="1">
      <alignment horizontal="right" vertical="center"/>
    </xf>
    <xf numFmtId="0" fontId="3" fillId="0" borderId="42" xfId="0" applyFont="1" applyFill="1" applyBorder="1" applyAlignment="1">
      <alignment horizontal="right" vertical="center"/>
    </xf>
    <xf numFmtId="166" fontId="28" fillId="5" borderId="36" xfId="31" applyNumberFormat="1" applyBorder="1" applyAlignment="1">
      <alignment horizontal="right" vertical="center"/>
    </xf>
    <xf numFmtId="10" fontId="33" fillId="4" borderId="31" xfId="30" applyNumberFormat="1" applyFont="1" applyBorder="1"/>
    <xf numFmtId="0" fontId="13" fillId="0" borderId="0" xfId="0" applyFont="1" applyFill="1" applyBorder="1"/>
    <xf numFmtId="0" fontId="35" fillId="0" borderId="19" xfId="0" applyFont="1" applyBorder="1"/>
    <xf numFmtId="0" fontId="35" fillId="0" borderId="20" xfId="0" applyFont="1" applyBorder="1"/>
    <xf numFmtId="0" fontId="29" fillId="0" borderId="14" xfId="32" applyBorder="1"/>
    <xf numFmtId="0" fontId="29" fillId="0" borderId="41" xfId="32" applyBorder="1"/>
    <xf numFmtId="2" fontId="29" fillId="0" borderId="14" xfId="32" applyNumberFormat="1" applyBorder="1"/>
    <xf numFmtId="2" fontId="29" fillId="0" borderId="41" xfId="32" applyNumberFormat="1" applyBorder="1"/>
    <xf numFmtId="1" fontId="29" fillId="0" borderId="14" xfId="32" applyNumberFormat="1" applyBorder="1"/>
    <xf numFmtId="1" fontId="29" fillId="0" borderId="41" xfId="32" applyNumberFormat="1" applyBorder="1"/>
    <xf numFmtId="166" fontId="29" fillId="0" borderId="41" xfId="32" applyNumberFormat="1" applyBorder="1"/>
    <xf numFmtId="0" fontId="28" fillId="5" borderId="13" xfId="31" applyBorder="1"/>
    <xf numFmtId="0" fontId="0" fillId="0" borderId="21" xfId="0" applyFill="1" applyBorder="1"/>
    <xf numFmtId="2" fontId="28" fillId="5" borderId="13" xfId="31" applyNumberFormat="1" applyBorder="1"/>
    <xf numFmtId="0" fontId="28" fillId="5" borderId="31" xfId="31" applyBorder="1"/>
    <xf numFmtId="0" fontId="13" fillId="0" borderId="28" xfId="0" applyFont="1" applyFill="1" applyBorder="1"/>
    <xf numFmtId="2" fontId="28" fillId="5" borderId="37" xfId="31" applyNumberFormat="1" applyFont="1" applyBorder="1"/>
    <xf numFmtId="2" fontId="28" fillId="5" borderId="36" xfId="31" applyNumberFormat="1" applyFont="1" applyBorder="1"/>
    <xf numFmtId="4" fontId="29" fillId="0" borderId="14" xfId="32" applyNumberFormat="1" applyFill="1"/>
    <xf numFmtId="4" fontId="29" fillId="0" borderId="14" xfId="32" applyNumberFormat="1"/>
    <xf numFmtId="166" fontId="3" fillId="0" borderId="0" xfId="0" applyNumberFormat="1" applyFont="1" applyFill="1" applyBorder="1" applyAlignment="1">
      <alignment horizontal="center"/>
    </xf>
    <xf numFmtId="4" fontId="30" fillId="6" borderId="15" xfId="33" applyNumberFormat="1"/>
    <xf numFmtId="0" fontId="0" fillId="0" borderId="0" xfId="0"/>
    <xf numFmtId="167" fontId="0" fillId="0" borderId="0" xfId="5" applyNumberFormat="1" applyFont="1"/>
    <xf numFmtId="166" fontId="13" fillId="0" borderId="1" xfId="1" applyNumberFormat="1" applyFont="1" applyBorder="1" applyAlignment="1">
      <alignment horizontal="right"/>
    </xf>
    <xf numFmtId="165" fontId="0" fillId="0" borderId="0" xfId="1" applyFont="1"/>
    <xf numFmtId="0" fontId="0" fillId="0" borderId="0" xfId="0"/>
    <xf numFmtId="0" fontId="0" fillId="0" borderId="0" xfId="0"/>
    <xf numFmtId="0" fontId="28" fillId="5" borderId="0" xfId="31" applyBorder="1"/>
    <xf numFmtId="0" fontId="0" fillId="0" borderId="0" xfId="0"/>
    <xf numFmtId="0" fontId="0" fillId="0" borderId="0" xfId="0"/>
    <xf numFmtId="0" fontId="43" fillId="8" borderId="0" xfId="34"/>
    <xf numFmtId="0" fontId="0" fillId="3" borderId="0" xfId="0" applyFill="1"/>
    <xf numFmtId="0" fontId="33" fillId="3" borderId="13" xfId="30" applyFont="1" applyFill="1"/>
    <xf numFmtId="0" fontId="27" fillId="3" borderId="13" xfId="30" applyFill="1"/>
    <xf numFmtId="0" fontId="30" fillId="6" borderId="15" xfId="33"/>
    <xf numFmtId="0" fontId="44" fillId="3" borderId="0" xfId="0" applyFont="1" applyFill="1" applyAlignment="1">
      <alignment vertical="center"/>
    </xf>
    <xf numFmtId="0" fontId="13" fillId="3" borderId="0" xfId="0" applyFont="1" applyFill="1"/>
    <xf numFmtId="0" fontId="0" fillId="0" borderId="0" xfId="0"/>
    <xf numFmtId="166" fontId="45" fillId="0" borderId="1" xfId="1" applyNumberFormat="1" applyFont="1" applyBorder="1"/>
    <xf numFmtId="0" fontId="0" fillId="0" borderId="0" xfId="0" applyFill="1"/>
    <xf numFmtId="0" fontId="46" fillId="0" borderId="0" xfId="0" applyFont="1"/>
    <xf numFmtId="3" fontId="0" fillId="3" borderId="0" xfId="0" applyNumberFormat="1" applyFill="1"/>
    <xf numFmtId="9" fontId="0" fillId="0" borderId="0" xfId="5" applyFont="1"/>
    <xf numFmtId="3" fontId="0" fillId="0" borderId="0" xfId="0" applyNumberFormat="1" applyFill="1"/>
    <xf numFmtId="0" fontId="6" fillId="0" borderId="1" xfId="0" applyFont="1" applyBorder="1" applyAlignment="1">
      <alignment horizontal="left"/>
    </xf>
    <xf numFmtId="0" fontId="25" fillId="0" borderId="1" xfId="0" applyFont="1" applyBorder="1" applyAlignment="1">
      <alignment horizontal="right"/>
    </xf>
    <xf numFmtId="0" fontId="0" fillId="0" borderId="1" xfId="0" applyFont="1" applyFill="1" applyBorder="1"/>
    <xf numFmtId="166" fontId="19" fillId="0" borderId="1" xfId="0" applyNumberFormat="1" applyFont="1" applyFill="1" applyBorder="1" applyAlignment="1">
      <alignment horizontal="right"/>
    </xf>
    <xf numFmtId="166" fontId="23" fillId="0" borderId="1" xfId="0" applyNumberFormat="1" applyFont="1" applyFill="1" applyBorder="1" applyAlignment="1">
      <alignment horizontal="right"/>
    </xf>
    <xf numFmtId="166" fontId="40" fillId="0" borderId="1" xfId="0" applyNumberFormat="1" applyFont="1" applyFill="1" applyBorder="1" applyAlignment="1">
      <alignment horizontal="right"/>
    </xf>
    <xf numFmtId="0" fontId="19" fillId="0" borderId="0" xfId="0" applyFont="1" applyBorder="1"/>
    <xf numFmtId="0" fontId="21" fillId="0" borderId="1" xfId="0" applyFont="1" applyFill="1" applyBorder="1" applyAlignment="1">
      <alignment horizontal="right"/>
    </xf>
    <xf numFmtId="0" fontId="23" fillId="0" borderId="1" xfId="0" applyFont="1" applyFill="1" applyBorder="1" applyAlignment="1">
      <alignment horizontal="left"/>
    </xf>
    <xf numFmtId="0" fontId="23" fillId="0" borderId="1" xfId="0" applyFont="1" applyFill="1" applyBorder="1" applyAlignment="1">
      <alignment horizontal="right"/>
    </xf>
    <xf numFmtId="166" fontId="19" fillId="0" borderId="1" xfId="0" applyNumberFormat="1" applyFont="1" applyBorder="1"/>
    <xf numFmtId="0" fontId="23" fillId="0" borderId="1" xfId="6" applyFont="1" applyFill="1" applyBorder="1" applyAlignment="1">
      <alignment horizontal="left"/>
    </xf>
    <xf numFmtId="166" fontId="3" fillId="0" borderId="1" xfId="1" applyNumberFormat="1" applyFont="1" applyFill="1" applyBorder="1" applyAlignment="1">
      <alignment horizontal="right"/>
    </xf>
    <xf numFmtId="0" fontId="20" fillId="0" borderId="1" xfId="0" applyFont="1" applyFill="1" applyBorder="1" applyAlignment="1">
      <alignment horizontal="right"/>
    </xf>
    <xf numFmtId="166" fontId="30" fillId="6" borderId="1" xfId="33" applyNumberFormat="1" applyBorder="1" applyAlignment="1">
      <alignment horizontal="right" vertical="center"/>
    </xf>
    <xf numFmtId="0" fontId="19" fillId="0" borderId="1" xfId="0" applyFont="1" applyBorder="1" applyAlignment="1">
      <alignment horizontal="left"/>
    </xf>
    <xf numFmtId="0" fontId="21" fillId="0" borderId="1" xfId="2" applyFont="1" applyFill="1" applyBorder="1" applyAlignment="1">
      <alignment horizontal="right"/>
    </xf>
    <xf numFmtId="0" fontId="3" fillId="0" borderId="1" xfId="2" applyFont="1" applyFill="1" applyBorder="1" applyAlignment="1">
      <alignment horizontal="left"/>
    </xf>
    <xf numFmtId="0" fontId="25" fillId="0" borderId="1" xfId="0" applyFont="1" applyBorder="1" applyAlignment="1">
      <alignment horizontal="left"/>
    </xf>
    <xf numFmtId="0" fontId="0" fillId="0" borderId="0" xfId="0"/>
    <xf numFmtId="0" fontId="2" fillId="0" borderId="1" xfId="2" applyFont="1" applyFill="1" applyBorder="1"/>
    <xf numFmtId="166" fontId="2" fillId="0" borderId="0" xfId="0" applyNumberFormat="1" applyFont="1" applyFill="1" applyBorder="1"/>
    <xf numFmtId="167" fontId="0" fillId="0" borderId="0" xfId="0" applyNumberFormat="1"/>
    <xf numFmtId="166" fontId="0" fillId="0" borderId="0" xfId="1" applyNumberFormat="1" applyFont="1"/>
    <xf numFmtId="167" fontId="0" fillId="0" borderId="0" xfId="1" applyNumberFormat="1" applyFont="1"/>
    <xf numFmtId="0" fontId="16" fillId="0" borderId="0" xfId="3" applyFont="1" applyFill="1" applyBorder="1" applyAlignment="1">
      <alignment horizontal="left"/>
    </xf>
    <xf numFmtId="0" fontId="11" fillId="0" borderId="0" xfId="4" applyFill="1" applyBorder="1" applyAlignment="1">
      <alignment horizontal="left"/>
    </xf>
    <xf numFmtId="0" fontId="13" fillId="0" borderId="3" xfId="0" applyFont="1" applyBorder="1" applyAlignment="1">
      <alignment horizontal="center"/>
    </xf>
    <xf numFmtId="0" fontId="13" fillId="0" borderId="4" xfId="0" applyFont="1" applyBorder="1" applyAlignment="1">
      <alignment horizontal="center"/>
    </xf>
    <xf numFmtId="0" fontId="2" fillId="0" borderId="3" xfId="0" applyFont="1" applyFill="1" applyBorder="1" applyAlignment="1">
      <alignment horizontal="left"/>
    </xf>
    <xf numFmtId="0" fontId="0" fillId="0" borderId="5" xfId="0" applyBorder="1" applyAlignment="1"/>
    <xf numFmtId="0" fontId="0" fillId="0" borderId="4" xfId="0" applyBorder="1" applyAlignment="1"/>
    <xf numFmtId="0" fontId="13" fillId="0" borderId="0" xfId="0" applyFont="1" applyAlignment="1">
      <alignment horizontal="center"/>
    </xf>
    <xf numFmtId="0" fontId="26" fillId="0" borderId="18" xfId="0" applyFont="1" applyBorder="1" applyAlignment="1">
      <alignment horizontal="center"/>
    </xf>
    <xf numFmtId="0" fontId="26" fillId="0" borderId="20" xfId="0" applyFont="1" applyBorder="1" applyAlignment="1">
      <alignment horizontal="center"/>
    </xf>
    <xf numFmtId="0" fontId="13" fillId="0" borderId="18" xfId="0" applyFont="1" applyBorder="1" applyAlignment="1">
      <alignment horizontal="center"/>
    </xf>
    <xf numFmtId="0" fontId="13" fillId="0" borderId="20" xfId="0" applyFont="1" applyBorder="1" applyAlignment="1">
      <alignment horizontal="center"/>
    </xf>
    <xf numFmtId="0" fontId="0" fillId="0" borderId="0" xfId="0"/>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0" fillId="0" borderId="0" xfId="0" applyFont="1" applyAlignment="1">
      <alignment horizontal="left"/>
    </xf>
    <xf numFmtId="0" fontId="19" fillId="0" borderId="0" xfId="0" applyFont="1" applyAlignment="1">
      <alignment horizontal="left"/>
    </xf>
    <xf numFmtId="0" fontId="18" fillId="0" borderId="0" xfId="0" applyFont="1" applyFill="1" applyAlignment="1">
      <alignment horizontal="center"/>
    </xf>
    <xf numFmtId="0" fontId="21" fillId="0" borderId="3" xfId="0" applyFont="1" applyFill="1" applyBorder="1" applyAlignment="1">
      <alignment horizontal="left"/>
    </xf>
    <xf numFmtId="0" fontId="21" fillId="0" borderId="4" xfId="0" applyFont="1" applyFill="1" applyBorder="1" applyAlignment="1">
      <alignment horizontal="left"/>
    </xf>
    <xf numFmtId="2" fontId="3" fillId="0" borderId="3" xfId="0" applyNumberFormat="1" applyFont="1" applyFill="1" applyBorder="1" applyAlignment="1">
      <alignment horizontal="left"/>
    </xf>
    <xf numFmtId="2" fontId="3" fillId="0" borderId="4" xfId="0" applyNumberFormat="1"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cellXfs>
  <cellStyles count="35">
    <cellStyle name="Calculation" xfId="31" builtinId="22"/>
    <cellStyle name="Check Cell" xfId="33" builtinId="23"/>
    <cellStyle name="Currency" xfId="1" builtinId="4"/>
    <cellStyle name="Currency 2" xfId="29" xr:uid="{00000000-0005-0000-0000-000003000000}"/>
    <cellStyle name="Followed Hyperlink" xfId="28" builtinId="9" hidden="1"/>
    <cellStyle name="Followed Hyperlink" xfId="26" builtinId="9" hidden="1"/>
    <cellStyle name="Followed Hyperlink" xfId="22" builtinId="9" hidden="1"/>
    <cellStyle name="Followed Hyperlink" xfId="24" builtinId="9" hidden="1"/>
    <cellStyle name="Followed Hyperlink" xfId="10" builtinId="9" hidden="1"/>
    <cellStyle name="Followed Hyperlink" xfId="12" builtinId="9" hidden="1"/>
    <cellStyle name="Followed Hyperlink" xfId="20" builtinId="9" hidden="1"/>
    <cellStyle name="Followed Hyperlink" xfId="14" builtinId="9" hidden="1"/>
    <cellStyle name="Followed Hyperlink" xfId="16" builtinId="9" hidden="1"/>
    <cellStyle name="Followed Hyperlink" xfId="18" builtinId="9" hidden="1"/>
    <cellStyle name="Followed Hyperlink" xfId="8" builtinId="9" hidden="1"/>
    <cellStyle name="Good" xfId="2" builtinId="26"/>
    <cellStyle name="Heading 1" xfId="3" builtinId="16"/>
    <cellStyle name="Heading 2" xfId="4" builtinId="17"/>
    <cellStyle name="Hyperlink" xfId="7" builtinId="8" hidden="1"/>
    <cellStyle name="Hyperlink" xfId="23" builtinId="8" hidden="1"/>
    <cellStyle name="Hyperlink" xfId="25"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9" builtinId="8" hidden="1"/>
    <cellStyle name="Hyperlink" xfId="11" builtinId="8" hidden="1"/>
    <cellStyle name="Hyperlink" xfId="27" builtinId="8" hidden="1"/>
    <cellStyle name="Input" xfId="30" builtinId="20"/>
    <cellStyle name="Linked Cell" xfId="32" builtinId="24"/>
    <cellStyle name="Neutral" xfId="34" builtinId="28"/>
    <cellStyle name="Normal" xfId="0" builtinId="0"/>
    <cellStyle name="Percent" xfId="5" builtinId="5"/>
    <cellStyle name="Warning Text" xfId="6" builtinId="11"/>
  </cellStyles>
  <dxfs count="27">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0"/>
        <color auto="1"/>
        <name val="Arial"/>
        <scheme val="none"/>
      </font>
      <numFmt numFmtId="167" formatCode="0.0%"/>
      <fill>
        <patternFill patternType="none">
          <fgColor indexed="64"/>
          <bgColor indexed="65"/>
        </patternFill>
      </fill>
      <alignment horizontal="center" vertical="bottom" textRotation="0" wrapText="0" relative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0"/>
        <color auto="1"/>
        <name val="Arial"/>
        <scheme val="none"/>
      </font>
      <numFmt numFmtId="166" formatCode="&quot;$&quot;#,##0.0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numFmt numFmtId="166"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border outline="0">
        <bottom style="thin">
          <color auto="1"/>
        </bottom>
      </border>
    </dxf>
    <dxf>
      <numFmt numFmtId="166" formatCode="&quot;$&quot;#,##0.00"/>
      <alignment horizontal="right" vertical="bottom" textRotation="0" wrapText="0" indent="0" justifyLastLine="0" shrinkToFit="0" readingOrder="0"/>
    </dxf>
    <dxf>
      <numFmt numFmtId="166" formatCode="&quot;$&quot;#,##0.00"/>
      <alignment horizontal="right" vertical="bottom" textRotation="0" wrapText="0" indent="0" justifyLastLine="0" shrinkToFit="0" readingOrder="0"/>
    </dxf>
    <dxf>
      <numFmt numFmtId="166" formatCode="&quot;$&quot;#,##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quot;$&quot;#,##0.00"/>
      <border diagonalUp="0" diagonalDown="0" outline="0">
        <left style="thin">
          <color auto="1"/>
        </left>
        <right style="thin">
          <color auto="1"/>
        </right>
        <top style="thin">
          <color auto="1"/>
        </top>
        <bottom style="thin">
          <color auto="1"/>
        </bottom>
      </border>
    </dxf>
    <dxf>
      <border outline="0">
        <bottom style="thin">
          <color auto="1"/>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304800</xdr:colOff>
      <xdr:row>17</xdr:row>
      <xdr:rowOff>50801</xdr:rowOff>
    </xdr:from>
    <xdr:to>
      <xdr:col>10</xdr:col>
      <xdr:colOff>330200</xdr:colOff>
      <xdr:row>34</xdr:row>
      <xdr:rowOff>50801</xdr:rowOff>
    </xdr:to>
    <xdr:pic>
      <xdr:nvPicPr>
        <xdr:cNvPr id="2" name="Picture 1">
          <a:extLst>
            <a:ext uri="{FF2B5EF4-FFF2-40B4-BE49-F238E27FC236}">
              <a16:creationId xmlns:a16="http://schemas.microsoft.com/office/drawing/2014/main" id="{619067F2-6938-CC41-979C-785E612CDDA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8100" y="3098801"/>
          <a:ext cx="3390900" cy="3238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F20:I32" totalsRowShown="0" dataDxfId="26" tableBorderDxfId="25" dataCellStyle="Currency">
  <autoFilter ref="F20:I32" xr:uid="{00000000-0009-0000-0100-000002000000}"/>
  <tableColumns count="4">
    <tableColumn id="1" xr3:uid="{00000000-0010-0000-0000-000001000000}" name="2018 LW Income" dataDxfId="24" dataCellStyle="Currency"/>
    <tableColumn id="2" xr3:uid="{00000000-0010-0000-0000-000002000000}" name="Parent 1" dataDxfId="23" dataCellStyle="Input"/>
    <tableColumn id="3" xr3:uid="{00000000-0010-0000-0000-000003000000}" name="Parent 2" dataDxfId="22" dataCellStyle="Input"/>
    <tableColumn id="4" xr3:uid="{00000000-0010-0000-0000-000004000000}" name="Total" dataDxfId="21" dataCellStyle="Inpu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5:D17" totalsRowShown="0" headerRowBorderDxfId="20" tableBorderDxfId="19">
  <autoFilter ref="A5:D17" xr:uid="{00000000-0009-0000-0100-000003000000}"/>
  <tableColumns count="4">
    <tableColumn id="1" xr3:uid="{00000000-0010-0000-0100-000001000000}" name="Item" dataDxfId="18" dataCellStyle="Good"/>
    <tableColumn id="2" xr3:uid="{00000000-0010-0000-0100-000002000000}" name="Monthly" dataDxfId="17" dataCellStyle="Good"/>
    <tableColumn id="3" xr3:uid="{00000000-0010-0000-0100-000003000000}" name="Annually" dataDxfId="16" dataCellStyle="Good"/>
    <tableColumn id="4" xr3:uid="{00000000-0010-0000-0100-000004000000}" name="% of Total" dataDxfId="15" dataCellStyle="Good">
      <calculatedColumnFormula>Table3[[#This Row],[Monthly]]/B17</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20:D26" totalsRowShown="0" headerRowBorderDxfId="14" tableBorderDxfId="13" totalsRowBorderDxfId="12">
  <autoFilter ref="A20:D26" xr:uid="{00000000-0009-0000-0100-000004000000}"/>
  <tableColumns count="4">
    <tableColumn id="1" xr3:uid="{00000000-0010-0000-0200-000001000000}" name="Income" dataDxfId="11" dataCellStyle="Good"/>
    <tableColumn id="2" xr3:uid="{00000000-0010-0000-0200-000002000000}" name="Monthly" dataDxfId="10" dataCellStyle="Linked Cell"/>
    <tableColumn id="3" xr3:uid="{00000000-0010-0000-0200-000003000000}" name="Annually" dataDxfId="9" dataCellStyle="Good"/>
    <tableColumn id="4" xr3:uid="{00000000-0010-0000-0200-000004000000}" name="No CBB at FNI" dataDxfId="8">
      <calculatedColumnFormula>'table 2 calculations'!I44</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5:D47" totalsRowShown="0" headerRowDxfId="7" headerRowBorderDxfId="6" tableBorderDxfId="5" totalsRowBorderDxfId="4">
  <autoFilter ref="A35:D47" xr:uid="{00000000-0009-0000-0100-000005000000}"/>
  <tableColumns count="4">
    <tableColumn id="1" xr3:uid="{00000000-0010-0000-0300-000001000000}" name="Column1" dataDxfId="3"/>
    <tableColumn id="2" xr3:uid="{00000000-0010-0000-0300-000002000000}" name="Parent 1" dataDxfId="2"/>
    <tableColumn id="3" xr3:uid="{00000000-0010-0000-0300-000003000000}" name="Parent 2" dataDxfId="1"/>
    <tableColumn id="4" xr3:uid="{00000000-0010-0000-0300-000004000000}" name="Total" dataDxfId="0">
      <calculatedColumnFormula>B36+C36</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3"/>
  <sheetViews>
    <sheetView tabSelected="1" zoomScaleNormal="100" zoomScalePageLayoutView="87" workbookViewId="0">
      <selection activeCell="E10" sqref="E10"/>
    </sheetView>
  </sheetViews>
  <sheetFormatPr baseColWidth="10" defaultColWidth="8.83203125" defaultRowHeight="15" x14ac:dyDescent="0.2"/>
  <cols>
    <col min="1" max="1" width="23.83203125" customWidth="1"/>
    <col min="2" max="2" width="13.5" customWidth="1"/>
    <col min="3" max="3" width="11.83203125" customWidth="1"/>
    <col min="4" max="4" width="13" customWidth="1"/>
    <col min="5" max="5" width="28.5" customWidth="1"/>
    <col min="6" max="6" width="20.5" customWidth="1"/>
    <col min="7" max="7" width="20.33203125" customWidth="1"/>
    <col min="8" max="8" width="13.5" customWidth="1"/>
    <col min="9" max="9" width="22.1640625" bestFit="1" customWidth="1"/>
    <col min="10" max="10" width="13.1640625" customWidth="1"/>
    <col min="11" max="11" width="13.33203125" customWidth="1"/>
    <col min="12" max="12" width="19.1640625" customWidth="1"/>
    <col min="13" max="13" width="11" customWidth="1"/>
    <col min="14" max="14" width="11.1640625" customWidth="1"/>
    <col min="15" max="15" width="14.5" customWidth="1"/>
    <col min="16" max="16" width="10.5" customWidth="1"/>
    <col min="17" max="17" width="13.1640625" customWidth="1"/>
    <col min="18" max="18" width="12" bestFit="1" customWidth="1"/>
    <col min="19" max="19" width="10.5" customWidth="1"/>
  </cols>
  <sheetData>
    <row r="1" spans="1:16" ht="21" x14ac:dyDescent="0.25">
      <c r="A1" s="282" t="s">
        <v>219</v>
      </c>
      <c r="B1" s="282"/>
      <c r="C1" s="282"/>
      <c r="D1" s="282"/>
      <c r="E1" s="282"/>
      <c r="F1" s="112"/>
      <c r="G1" s="112"/>
      <c r="H1" s="42"/>
      <c r="I1" s="42"/>
      <c r="J1" s="1"/>
      <c r="K1" s="1"/>
      <c r="L1" s="1"/>
      <c r="M1" s="1"/>
      <c r="N1" s="1"/>
      <c r="O1" s="1"/>
      <c r="P1" s="43"/>
    </row>
    <row r="2" spans="1:16" ht="17" x14ac:dyDescent="0.2">
      <c r="A2" s="283"/>
      <c r="B2" s="283"/>
      <c r="C2" s="1"/>
      <c r="D2" s="1"/>
      <c r="E2" s="1"/>
      <c r="F2" s="43"/>
      <c r="G2" s="43"/>
      <c r="H2" s="1"/>
      <c r="I2" s="1"/>
      <c r="J2" s="1"/>
      <c r="K2" s="1"/>
      <c r="L2" s="1"/>
      <c r="M2" s="1"/>
      <c r="N2" s="1"/>
      <c r="O2" s="1"/>
      <c r="P2" s="43"/>
    </row>
    <row r="3" spans="1:16" ht="19" x14ac:dyDescent="0.25">
      <c r="A3" s="120"/>
      <c r="B3" s="2"/>
      <c r="C3" s="3"/>
      <c r="D3" s="1"/>
      <c r="E3" s="4"/>
      <c r="F3" s="43"/>
      <c r="G3" s="43"/>
      <c r="H3" s="4"/>
      <c r="I3" s="5"/>
      <c r="J3" s="1"/>
      <c r="K3" s="6"/>
      <c r="L3" s="3"/>
      <c r="M3" s="3"/>
      <c r="N3" s="3"/>
      <c r="O3" s="3"/>
      <c r="P3" s="43"/>
    </row>
    <row r="4" spans="1:16" ht="17" x14ac:dyDescent="0.2">
      <c r="A4" s="27" t="s">
        <v>73</v>
      </c>
      <c r="B4" s="27"/>
      <c r="C4" s="27"/>
      <c r="D4" s="27"/>
      <c r="E4" s="4"/>
      <c r="F4" s="276"/>
      <c r="G4" s="279"/>
      <c r="H4" s="278"/>
      <c r="J4" s="43"/>
      <c r="K4" s="43"/>
      <c r="L4" s="43"/>
      <c r="M4" s="43"/>
      <c r="N4" s="43"/>
      <c r="O4" s="3"/>
      <c r="P4" s="43"/>
    </row>
    <row r="5" spans="1:16" x14ac:dyDescent="0.2">
      <c r="A5" s="54" t="s">
        <v>0</v>
      </c>
      <c r="B5" s="55" t="s">
        <v>1</v>
      </c>
      <c r="C5" s="56" t="s">
        <v>2</v>
      </c>
      <c r="D5" s="57" t="s">
        <v>3</v>
      </c>
      <c r="E5" s="7"/>
      <c r="F5" s="276"/>
      <c r="G5" s="279"/>
      <c r="H5" s="39"/>
      <c r="J5" s="43"/>
      <c r="K5" s="43"/>
      <c r="L5" s="43"/>
      <c r="M5" s="43"/>
      <c r="N5" s="43"/>
      <c r="O5" s="43"/>
      <c r="P5" s="43"/>
    </row>
    <row r="6" spans="1:16" x14ac:dyDescent="0.2">
      <c r="A6" s="51" t="s">
        <v>4</v>
      </c>
      <c r="B6" s="93">
        <f>Table3[[#This Row],[Annually]]/12</f>
        <v>1104.2319804058782</v>
      </c>
      <c r="C6" s="93">
        <f>'Family Expenses'!B59</f>
        <v>13250.783764870539</v>
      </c>
      <c r="D6" s="53">
        <f>Table3[[#This Row],[Monthly]]/B17</f>
        <v>0.19639941312336082</v>
      </c>
      <c r="E6" s="8"/>
      <c r="F6" s="276"/>
      <c r="G6" s="279"/>
      <c r="H6" s="39"/>
      <c r="J6" s="43"/>
      <c r="K6" s="43"/>
      <c r="L6" s="43"/>
      <c r="M6" s="43"/>
      <c r="N6" s="43"/>
      <c r="O6" s="43"/>
      <c r="P6" s="39"/>
    </row>
    <row r="7" spans="1:16" x14ac:dyDescent="0.2">
      <c r="A7" s="52" t="s">
        <v>5</v>
      </c>
      <c r="B7" s="93">
        <f>Table3[[#This Row],[Annually]]/12</f>
        <v>166.53886010362694</v>
      </c>
      <c r="C7" s="96">
        <f>'Family Expenses'!B25</f>
        <v>1998.4663212435232</v>
      </c>
      <c r="D7" s="53">
        <f>Table3[[#This Row],[Monthly]]/B17</f>
        <v>2.9620709205110524E-2</v>
      </c>
      <c r="E7" s="8"/>
      <c r="F7" s="276"/>
      <c r="G7" s="281"/>
      <c r="H7" s="280"/>
      <c r="J7" s="43"/>
      <c r="K7" s="43"/>
      <c r="P7" s="39"/>
    </row>
    <row r="8" spans="1:16" x14ac:dyDescent="0.2">
      <c r="A8" s="51" t="s">
        <v>271</v>
      </c>
      <c r="B8" s="93">
        <f>'Family Expenses'!B6+'Family Expenses'!B16</f>
        <v>1140.54215</v>
      </c>
      <c r="C8" s="93">
        <f>Table3[[#This Row],[Monthly]]*12</f>
        <v>13686.505799999999</v>
      </c>
      <c r="D8" s="53">
        <f>Table3[[#This Row],[Monthly]]/B17</f>
        <v>0.20285756333566857</v>
      </c>
      <c r="E8" s="12"/>
      <c r="F8" s="276"/>
      <c r="G8" s="281"/>
      <c r="H8" s="280"/>
      <c r="J8" s="43"/>
      <c r="K8" s="43"/>
      <c r="P8" s="43"/>
    </row>
    <row r="9" spans="1:16" x14ac:dyDescent="0.2">
      <c r="A9" s="51" t="s">
        <v>270</v>
      </c>
      <c r="B9" s="93">
        <f>Table3[[#This Row],[Annually]]/12</f>
        <v>149.5</v>
      </c>
      <c r="C9" s="93">
        <f>'Family Expenses'!B22</f>
        <v>1794</v>
      </c>
      <c r="D9" s="53">
        <f>Table3[[#This Row],[Monthly]]/B17</f>
        <v>2.6590166543763814E-2</v>
      </c>
      <c r="E9" s="13"/>
      <c r="F9" s="276"/>
      <c r="G9" s="281"/>
      <c r="H9" s="280"/>
      <c r="J9" s="43"/>
      <c r="K9" s="43"/>
      <c r="P9" s="43"/>
    </row>
    <row r="10" spans="1:16" x14ac:dyDescent="0.2">
      <c r="A10" s="51" t="s">
        <v>7</v>
      </c>
      <c r="B10" s="93">
        <f>Table3[[#This Row],[Annually]]/12</f>
        <v>625.15213392200155</v>
      </c>
      <c r="C10" s="93">
        <f>'Family Expenses'!B37</f>
        <v>7501.8256070640182</v>
      </c>
      <c r="D10" s="53">
        <f>Table3[[#This Row],[Monthly]]/B17</f>
        <v>0.11118996224866462</v>
      </c>
      <c r="E10" s="15"/>
      <c r="F10" s="276"/>
      <c r="G10" s="281"/>
      <c r="H10" s="280"/>
      <c r="J10" s="43"/>
      <c r="K10" s="43"/>
      <c r="M10" s="43"/>
      <c r="P10" s="43"/>
    </row>
    <row r="11" spans="1:16" x14ac:dyDescent="0.2">
      <c r="A11" s="51" t="s">
        <v>8</v>
      </c>
      <c r="B11" s="93">
        <f>C11/12</f>
        <v>1151.2797222222223</v>
      </c>
      <c r="C11" s="93">
        <f>'Family Expenses'!B53</f>
        <v>13815.356666666667</v>
      </c>
      <c r="D11" s="53">
        <f>Table3[[#This Row],[Monthly]]/B17</f>
        <v>0.20476735486519754</v>
      </c>
      <c r="E11" s="16"/>
      <c r="F11" s="276"/>
      <c r="G11" s="281"/>
      <c r="H11" s="280"/>
      <c r="J11" s="43"/>
      <c r="K11" s="43"/>
      <c r="M11" s="43"/>
      <c r="P11" s="43"/>
    </row>
    <row r="12" spans="1:16" x14ac:dyDescent="0.2">
      <c r="A12" s="51" t="s">
        <v>9</v>
      </c>
      <c r="B12" s="93">
        <f>'Family Expenses'!B62</f>
        <v>173.05</v>
      </c>
      <c r="C12" s="93">
        <f>B12*12</f>
        <v>2076.6000000000004</v>
      </c>
      <c r="D12" s="53">
        <f>Table3[[#This Row],[Monthly]]/B17</f>
        <v>3.0778784751828284E-2</v>
      </c>
      <c r="E12" s="16"/>
      <c r="F12" s="276"/>
      <c r="G12" s="281"/>
      <c r="H12" s="280"/>
      <c r="J12" s="43"/>
      <c r="K12" s="43"/>
      <c r="M12" s="43"/>
      <c r="P12" s="43"/>
    </row>
    <row r="13" spans="1:16" x14ac:dyDescent="0.2">
      <c r="A13" s="51" t="s">
        <v>10</v>
      </c>
      <c r="B13" s="93">
        <f>C13/12</f>
        <v>219.91666666666666</v>
      </c>
      <c r="C13" s="93">
        <f>(C36*C37)*2+(B36*B37)*2</f>
        <v>2639</v>
      </c>
      <c r="D13" s="53">
        <f>Table3[[#This Row],[Monthly]]/B17</f>
        <v>3.9114520350609083E-2</v>
      </c>
      <c r="E13" s="77"/>
      <c r="F13" s="276"/>
      <c r="G13" s="281"/>
      <c r="H13" s="280"/>
      <c r="J13" s="43"/>
      <c r="K13" s="43"/>
      <c r="M13" s="43"/>
      <c r="P13" s="43"/>
    </row>
    <row r="14" spans="1:16" x14ac:dyDescent="0.2">
      <c r="A14" s="51" t="s">
        <v>11</v>
      </c>
      <c r="B14" s="93">
        <f>C14/12</f>
        <v>66.166666666666671</v>
      </c>
      <c r="C14" s="93">
        <f>'Family Expenses'!B44</f>
        <v>794</v>
      </c>
      <c r="D14" s="53">
        <f>Table3[[#This Row],[Monthly]]/B17</f>
        <v>1.1768446062290118E-2</v>
      </c>
      <c r="E14" s="7"/>
      <c r="F14" s="276"/>
      <c r="G14" s="281"/>
      <c r="H14" s="280"/>
      <c r="J14" s="43"/>
      <c r="K14" s="43"/>
      <c r="M14" s="43"/>
      <c r="P14" s="43"/>
    </row>
    <row r="15" spans="1:16" x14ac:dyDescent="0.2">
      <c r="A15" s="51" t="s">
        <v>12</v>
      </c>
      <c r="B15" s="93">
        <f>C15/12</f>
        <v>413.00052316558919</v>
      </c>
      <c r="C15" s="93">
        <f>'Family Expenses'!B29</f>
        <v>4956.0062779870705</v>
      </c>
      <c r="D15" s="53">
        <f>Table3[[#This Row],[Monthly]]/B17</f>
        <v>7.3456539756753189E-2</v>
      </c>
      <c r="E15" s="8"/>
      <c r="H15" s="237"/>
      <c r="I15" s="237"/>
      <c r="J15" s="43"/>
      <c r="K15" s="43"/>
      <c r="L15" s="43"/>
      <c r="M15" s="43"/>
      <c r="P15" s="43"/>
    </row>
    <row r="16" spans="1:16" x14ac:dyDescent="0.2">
      <c r="A16" s="51" t="s">
        <v>13</v>
      </c>
      <c r="B16" s="93">
        <f>C16/12</f>
        <v>413.00052316558919</v>
      </c>
      <c r="C16" s="94">
        <f>C15</f>
        <v>4956.0062779870705</v>
      </c>
      <c r="D16" s="53">
        <f>Table3[[#This Row],[Monthly]]/B17</f>
        <v>7.3456539756753189E-2</v>
      </c>
      <c r="E16" s="8"/>
      <c r="H16" s="237"/>
      <c r="I16" s="237"/>
      <c r="J16" s="43"/>
      <c r="K16" s="43"/>
      <c r="L16" s="43"/>
      <c r="M16" s="43"/>
      <c r="P16" s="43"/>
    </row>
    <row r="17" spans="1:15" x14ac:dyDescent="0.2">
      <c r="A17" s="58" t="s">
        <v>14</v>
      </c>
      <c r="B17" s="95">
        <f>SUM(B6:B16)</f>
        <v>5622.3792263182422</v>
      </c>
      <c r="C17" s="95">
        <f>SUM(C6:C16)</f>
        <v>67468.550715818885</v>
      </c>
      <c r="D17" s="60">
        <f>Table3[[#This Row],[Monthly]]/Table3[[#This Row],[Monthly]]</f>
        <v>1</v>
      </c>
      <c r="E17" s="8"/>
      <c r="H17" s="237"/>
      <c r="I17" s="237"/>
      <c r="J17" s="43"/>
      <c r="K17" s="43"/>
      <c r="L17" s="43"/>
      <c r="M17" s="43"/>
    </row>
    <row r="18" spans="1:15" x14ac:dyDescent="0.2">
      <c r="A18" s="4"/>
      <c r="B18" s="18"/>
      <c r="C18" s="18"/>
      <c r="D18" s="18"/>
      <c r="E18" s="8"/>
      <c r="H18" s="237"/>
      <c r="I18" s="237"/>
      <c r="J18" s="43"/>
      <c r="L18" s="43"/>
      <c r="M18" s="43"/>
    </row>
    <row r="19" spans="1:15" ht="17" x14ac:dyDescent="0.2">
      <c r="A19" s="27" t="s">
        <v>15</v>
      </c>
      <c r="B19" s="27"/>
      <c r="C19" s="27"/>
      <c r="D19" s="27"/>
      <c r="F19" s="27" t="s">
        <v>63</v>
      </c>
      <c r="G19" s="27"/>
      <c r="H19" s="27"/>
      <c r="I19" s="27"/>
      <c r="J19" s="43"/>
      <c r="L19" s="43"/>
      <c r="M19" s="43"/>
    </row>
    <row r="20" spans="1:15" x14ac:dyDescent="0.2">
      <c r="A20" s="62" t="s">
        <v>17</v>
      </c>
      <c r="B20" s="55" t="s">
        <v>1</v>
      </c>
      <c r="C20" s="57" t="s">
        <v>2</v>
      </c>
      <c r="D20" s="201" t="s">
        <v>18</v>
      </c>
      <c r="F20" s="38" t="s">
        <v>254</v>
      </c>
      <c r="G20" s="46" t="s">
        <v>31</v>
      </c>
      <c r="H20" s="43" t="s">
        <v>32</v>
      </c>
      <c r="I20" s="49" t="s">
        <v>14</v>
      </c>
      <c r="J20" s="17"/>
      <c r="K20" t="s">
        <v>259</v>
      </c>
      <c r="L20" s="43"/>
      <c r="M20" s="43"/>
      <c r="N20" s="43"/>
      <c r="O20" s="43"/>
    </row>
    <row r="21" spans="1:15" x14ac:dyDescent="0.2">
      <c r="A21" s="126" t="s">
        <v>247</v>
      </c>
      <c r="B21" s="43">
        <v>0</v>
      </c>
      <c r="C21" s="43">
        <f>B21*12</f>
        <v>0</v>
      </c>
      <c r="D21" s="202"/>
      <c r="F21" s="47" t="s">
        <v>35</v>
      </c>
      <c r="G21" s="178">
        <v>35035</v>
      </c>
      <c r="H21" s="178">
        <v>35035</v>
      </c>
      <c r="I21" s="178">
        <f>G21+H21</f>
        <v>70070</v>
      </c>
      <c r="J21" s="17"/>
      <c r="K21">
        <f>Table2[[#This Row],[Parent 1]]/35/52</f>
        <v>19.25</v>
      </c>
      <c r="L21" s="43"/>
      <c r="M21" s="43"/>
      <c r="N21" s="43"/>
      <c r="O21" s="43"/>
    </row>
    <row r="22" spans="1:15" ht="16" thickBot="1" x14ac:dyDescent="0.25">
      <c r="A22" s="51" t="s">
        <v>127</v>
      </c>
      <c r="B22" s="181">
        <f>'table 2 calculations'!C10</f>
        <v>698.60833333333323</v>
      </c>
      <c r="C22" s="181">
        <f>'table 2 calculations'!D10</f>
        <v>4191.6499999999996</v>
      </c>
      <c r="D22" s="205">
        <f>'table 2 calculations'!I45</f>
        <v>191959.64912280702</v>
      </c>
      <c r="E22" s="252"/>
      <c r="F22" s="48" t="s">
        <v>16</v>
      </c>
      <c r="G22" s="178"/>
      <c r="H22" s="178"/>
      <c r="I22" s="178">
        <f>Table2[[#This Row],[Parent 1]]</f>
        <v>0</v>
      </c>
      <c r="J22" s="17"/>
      <c r="K22" t="s">
        <v>260</v>
      </c>
      <c r="L22" s="43"/>
      <c r="M22" s="43"/>
      <c r="N22" s="43"/>
      <c r="O22" s="43"/>
    </row>
    <row r="23" spans="1:15" ht="17" thickTop="1" thickBot="1" x14ac:dyDescent="0.25">
      <c r="A23" s="51" t="s">
        <v>128</v>
      </c>
      <c r="B23" s="181">
        <f>'table 2 calculations'!C11</f>
        <v>725.45958333333328</v>
      </c>
      <c r="C23" s="181">
        <f>'table 2 calculations'!D11</f>
        <v>4352.7574999999997</v>
      </c>
      <c r="D23" s="205">
        <f>'table 2 calculations'!I46</f>
        <v>195806.22807017542</v>
      </c>
      <c r="F23" s="48" t="s">
        <v>64</v>
      </c>
      <c r="G23" s="178">
        <v>13000</v>
      </c>
      <c r="H23" s="178"/>
      <c r="I23" s="178"/>
      <c r="J23" s="17"/>
      <c r="K23" s="43"/>
      <c r="L23" s="43"/>
      <c r="M23" s="43"/>
      <c r="N23" s="43"/>
      <c r="O23" s="43"/>
    </row>
    <row r="24" spans="1:15" ht="17" thickTop="1" thickBot="1" x14ac:dyDescent="0.25">
      <c r="A24" s="51" t="s">
        <v>19</v>
      </c>
      <c r="B24" s="181">
        <f>C24/12</f>
        <v>0</v>
      </c>
      <c r="C24" s="182">
        <f>'table 2 calculations'!D12</f>
        <v>0</v>
      </c>
      <c r="D24" s="203"/>
      <c r="F24" s="48" t="s">
        <v>36</v>
      </c>
      <c r="G24" s="178">
        <f>G22-G23</f>
        <v>-13000</v>
      </c>
      <c r="H24" s="178"/>
      <c r="I24" s="178"/>
      <c r="J24" s="17"/>
      <c r="K24" s="43"/>
    </row>
    <row r="25" spans="1:15" ht="17" thickTop="1" thickBot="1" x14ac:dyDescent="0.25">
      <c r="A25" s="51"/>
      <c r="B25" s="139"/>
      <c r="C25" s="198"/>
      <c r="D25" s="203"/>
      <c r="F25" s="48" t="s">
        <v>37</v>
      </c>
      <c r="G25" s="178">
        <v>22035</v>
      </c>
      <c r="H25" s="178">
        <v>35035</v>
      </c>
      <c r="I25" s="178">
        <f t="shared" ref="I25" si="0">G25+H25</f>
        <v>57070</v>
      </c>
      <c r="J25" s="1"/>
      <c r="K25" s="43"/>
    </row>
    <row r="26" spans="1:15" ht="16" thickTop="1" x14ac:dyDescent="0.2">
      <c r="A26" s="58" t="s">
        <v>14</v>
      </c>
      <c r="B26" s="59">
        <f>SUM(B21:B25)/2</f>
        <v>712.0339583333332</v>
      </c>
      <c r="C26" s="63">
        <f>SUM(C21:C25)</f>
        <v>8544.4074999999993</v>
      </c>
      <c r="D26" s="204"/>
      <c r="F26" s="48" t="s">
        <v>38</v>
      </c>
      <c r="G26" s="180">
        <v>571.07049999999992</v>
      </c>
      <c r="H26" s="180">
        <v>571.07049999999992</v>
      </c>
      <c r="I26" s="180">
        <f>Table2[[#This Row],[Parent 1]]+Table2[[#This Row],[Parent 2]]</f>
        <v>1142.1409999999998</v>
      </c>
      <c r="J26" s="6"/>
      <c r="K26" s="43"/>
    </row>
    <row r="27" spans="1:15" ht="17" x14ac:dyDescent="0.2">
      <c r="A27" s="4"/>
      <c r="B27" s="18"/>
      <c r="C27" s="18"/>
      <c r="D27" s="27"/>
      <c r="F27" s="48" t="s">
        <v>39</v>
      </c>
      <c r="G27" s="180">
        <v>1560.9825000000001</v>
      </c>
      <c r="H27" s="180">
        <v>1560.9825000000001</v>
      </c>
      <c r="I27" s="180">
        <f>Table2[[#This Row],[Parent 1]]+Table2[[#This Row],[Parent 2]]</f>
        <v>3121.9650000000001</v>
      </c>
      <c r="J27" s="1"/>
      <c r="K27" s="43"/>
    </row>
    <row r="28" spans="1:15" ht="17" x14ac:dyDescent="0.2">
      <c r="A28" s="27" t="s">
        <v>23</v>
      </c>
      <c r="B28" s="27"/>
      <c r="C28" s="27"/>
      <c r="D28" s="1"/>
      <c r="E28" s="43"/>
      <c r="F28" s="48" t="s">
        <v>40</v>
      </c>
      <c r="G28" s="180">
        <v>1034.8420500000002</v>
      </c>
      <c r="H28" s="180">
        <v>2762.0095500000002</v>
      </c>
      <c r="I28" s="180">
        <f>Table2[[#This Row],[Parent 1]]+Table2[[#This Row],[Parent 2]]</f>
        <v>3796.8516000000004</v>
      </c>
      <c r="J28" s="1"/>
      <c r="K28" s="43"/>
      <c r="L28" s="43"/>
      <c r="M28" s="43"/>
      <c r="N28" s="43"/>
      <c r="O28" s="43"/>
    </row>
    <row r="29" spans="1:15" x14ac:dyDescent="0.2">
      <c r="A29" s="29"/>
      <c r="B29" s="45"/>
      <c r="C29" s="28" t="s">
        <v>2</v>
      </c>
      <c r="D29" s="6"/>
      <c r="E29" s="232"/>
      <c r="F29" s="48" t="s">
        <v>41</v>
      </c>
      <c r="G29" s="180">
        <v>0</v>
      </c>
      <c r="H29" s="180">
        <v>1887.0645389999995</v>
      </c>
      <c r="I29" s="180">
        <f>Table2[[#This Row],[Parent 1]]+Table2[[#This Row],[Parent 2]]</f>
        <v>1887.0645389999995</v>
      </c>
      <c r="J29" s="43"/>
      <c r="K29" s="43"/>
      <c r="L29" s="43"/>
      <c r="M29" s="43"/>
      <c r="N29" s="43"/>
      <c r="O29" s="43"/>
    </row>
    <row r="30" spans="1:15" x14ac:dyDescent="0.2">
      <c r="A30" s="78" t="s">
        <v>25</v>
      </c>
      <c r="B30" s="26"/>
      <c r="C30" s="14">
        <f>C26+D46</f>
        <v>67574.564012200004</v>
      </c>
      <c r="D30" s="1"/>
      <c r="E30" s="5"/>
      <c r="F30" s="48" t="s">
        <v>42</v>
      </c>
      <c r="G30" s="178">
        <v>0</v>
      </c>
      <c r="H30" s="178">
        <v>0</v>
      </c>
      <c r="I30" s="180">
        <f>Table2[[#This Row],[Parent 1]]+Table2[[#This Row],[Parent 2]]</f>
        <v>0</v>
      </c>
      <c r="J30" s="43"/>
      <c r="K30" s="43"/>
      <c r="L30" s="43"/>
      <c r="M30" s="43"/>
      <c r="N30" s="43"/>
      <c r="O30" s="43"/>
    </row>
    <row r="31" spans="1:15" x14ac:dyDescent="0.2">
      <c r="A31" s="78" t="s">
        <v>26</v>
      </c>
      <c r="B31" s="26"/>
      <c r="C31" s="14">
        <f>C17</f>
        <v>67468.550715818885</v>
      </c>
      <c r="D31" s="1"/>
      <c r="E31" s="4"/>
      <c r="F31" s="48" t="s">
        <v>43</v>
      </c>
      <c r="G31" s="180">
        <v>31868.104950000001</v>
      </c>
      <c r="H31" s="180">
        <v>28253.872910999999</v>
      </c>
      <c r="I31" s="180">
        <f>Table2[[#This Row],[Parent 1]]+Table2[[#This Row],[Parent 2]]</f>
        <v>60121.977860999999</v>
      </c>
      <c r="J31" s="40"/>
      <c r="K31" s="43"/>
      <c r="L31" s="1"/>
      <c r="M31" s="1"/>
      <c r="N31" s="1"/>
      <c r="O31" s="1"/>
    </row>
    <row r="32" spans="1:15" x14ac:dyDescent="0.2">
      <c r="A32" s="34" t="s">
        <v>28</v>
      </c>
      <c r="B32" s="35"/>
      <c r="C32" s="31">
        <f>C30-C31</f>
        <v>106.01329638111929</v>
      </c>
      <c r="D32" s="1"/>
      <c r="E32" s="4"/>
      <c r="F32" s="251"/>
      <c r="G32" s="178">
        <v>2655.6754125000002</v>
      </c>
      <c r="H32" s="178">
        <v>2354.4894092499999</v>
      </c>
      <c r="I32" s="180">
        <f>Table2[[#This Row],[Parent 1]]+Table2[[#This Row],[Parent 2]]</f>
        <v>5010.1648217500006</v>
      </c>
      <c r="J32" s="43"/>
      <c r="K32" s="43"/>
      <c r="L32" s="1"/>
      <c r="M32" s="1"/>
      <c r="N32" s="1"/>
      <c r="O32" s="1"/>
    </row>
    <row r="33" spans="1:15" x14ac:dyDescent="0.2">
      <c r="A33" s="4"/>
      <c r="B33" s="18"/>
      <c r="C33" s="18"/>
      <c r="D33" s="1"/>
      <c r="E33" s="1" t="s">
        <v>72</v>
      </c>
      <c r="F33" s="250"/>
      <c r="G33" s="250"/>
      <c r="H33" s="75"/>
      <c r="I33" s="76"/>
      <c r="J33" s="37"/>
      <c r="K33" s="43"/>
      <c r="L33" s="1"/>
      <c r="M33" s="1"/>
      <c r="N33" s="1"/>
      <c r="O33" s="1"/>
    </row>
    <row r="34" spans="1:15" ht="17" x14ac:dyDescent="0.2">
      <c r="A34" s="27" t="s">
        <v>29</v>
      </c>
      <c r="B34" s="27"/>
      <c r="C34" s="27"/>
      <c r="D34" s="1"/>
      <c r="E34" s="1"/>
      <c r="F34" s="250"/>
      <c r="G34" s="250"/>
      <c r="H34" s="19"/>
      <c r="I34" s="1"/>
      <c r="J34" s="1"/>
      <c r="K34" s="43"/>
      <c r="L34" s="1"/>
      <c r="M34" s="1"/>
      <c r="N34" s="1"/>
      <c r="O34" s="1"/>
    </row>
    <row r="35" spans="1:15" x14ac:dyDescent="0.2">
      <c r="A35" s="71" t="s">
        <v>30</v>
      </c>
      <c r="B35" s="55" t="s">
        <v>31</v>
      </c>
      <c r="C35" s="56" t="s">
        <v>32</v>
      </c>
      <c r="D35" s="57" t="s">
        <v>14</v>
      </c>
      <c r="E35" s="21"/>
      <c r="F35" s="284" t="s">
        <v>255</v>
      </c>
      <c r="G35" s="285"/>
      <c r="H35" s="250"/>
      <c r="I35" s="175"/>
      <c r="J35" s="175"/>
      <c r="K35" s="43"/>
      <c r="L35" s="1"/>
      <c r="M35" s="1"/>
      <c r="N35" s="1"/>
      <c r="O35" s="1"/>
    </row>
    <row r="36" spans="1:15" x14ac:dyDescent="0.2">
      <c r="A36" s="64" t="s">
        <v>33</v>
      </c>
      <c r="B36" s="23">
        <v>35</v>
      </c>
      <c r="C36" s="9">
        <v>35</v>
      </c>
      <c r="D36" s="67">
        <f>B36+C36</f>
        <v>70</v>
      </c>
      <c r="E36" s="22"/>
      <c r="F36" s="115" t="s">
        <v>76</v>
      </c>
      <c r="G36" s="48">
        <v>8000</v>
      </c>
      <c r="H36" s="250"/>
      <c r="I36" s="43"/>
      <c r="J36" s="43"/>
      <c r="K36" s="43"/>
      <c r="L36" s="3"/>
      <c r="M36" s="1"/>
      <c r="N36" s="1"/>
      <c r="O36" s="1"/>
    </row>
    <row r="37" spans="1:15" x14ac:dyDescent="0.2">
      <c r="A37" s="50" t="s">
        <v>34</v>
      </c>
      <c r="B37" s="180">
        <v>18.850000000000001</v>
      </c>
      <c r="C37" s="33">
        <f>Table5[[#This Row],[Parent 1]]</f>
        <v>18.850000000000001</v>
      </c>
      <c r="D37" s="67"/>
      <c r="E37" s="21"/>
      <c r="F37" s="115" t="s">
        <v>77</v>
      </c>
      <c r="G37" s="41">
        <v>5000</v>
      </c>
      <c r="H37" s="250"/>
      <c r="I37" s="43"/>
      <c r="J37" s="43"/>
      <c r="K37" s="43"/>
      <c r="L37" s="1"/>
      <c r="M37" s="3"/>
      <c r="N37" s="3"/>
      <c r="O37" s="1"/>
    </row>
    <row r="38" spans="1:15" x14ac:dyDescent="0.2">
      <c r="A38" s="51" t="s">
        <v>35</v>
      </c>
      <c r="B38" s="25">
        <f>(B37*B36)*52</f>
        <v>34307</v>
      </c>
      <c r="C38" s="25">
        <f>B38</f>
        <v>34307</v>
      </c>
      <c r="D38" s="61">
        <f>B38+C38</f>
        <v>68614</v>
      </c>
      <c r="E38" s="4"/>
      <c r="F38" s="116" t="s">
        <v>14</v>
      </c>
      <c r="G38" s="47">
        <f>SUM(G36:G37)</f>
        <v>13000</v>
      </c>
      <c r="H38" s="250" t="s">
        <v>184</v>
      </c>
      <c r="I38" s="43"/>
      <c r="J38" s="43"/>
      <c r="K38" s="43"/>
      <c r="L38" s="1"/>
      <c r="M38" s="1"/>
      <c r="N38" s="1"/>
      <c r="O38" s="1"/>
    </row>
    <row r="39" spans="1:15" x14ac:dyDescent="0.2">
      <c r="A39" s="65" t="s">
        <v>36</v>
      </c>
      <c r="B39" s="25">
        <f>-G38</f>
        <v>-13000</v>
      </c>
      <c r="C39" s="24"/>
      <c r="D39" s="68"/>
      <c r="E39" s="4"/>
      <c r="F39" s="250"/>
      <c r="G39" s="250"/>
      <c r="H39" s="20"/>
      <c r="I39" s="43"/>
      <c r="J39" s="43"/>
      <c r="K39" s="43"/>
      <c r="L39" s="1"/>
      <c r="M39" s="1"/>
      <c r="N39" s="1"/>
      <c r="O39" s="1"/>
    </row>
    <row r="40" spans="1:15" x14ac:dyDescent="0.2">
      <c r="A40" s="66" t="s">
        <v>37</v>
      </c>
      <c r="B40" s="32">
        <f>B38+B39</f>
        <v>21307</v>
      </c>
      <c r="C40" s="32">
        <f>C38+C39</f>
        <v>34307</v>
      </c>
      <c r="D40" s="69">
        <f>B40+C40</f>
        <v>55614</v>
      </c>
      <c r="E40" s="22"/>
      <c r="F40" s="18"/>
      <c r="G40" s="2"/>
      <c r="H40" s="18"/>
      <c r="I40" s="43"/>
      <c r="J40" s="43"/>
      <c r="K40" s="43"/>
      <c r="L40" s="1"/>
      <c r="M40" s="1"/>
      <c r="N40" s="1"/>
      <c r="O40" s="1"/>
    </row>
    <row r="41" spans="1:15" ht="16" thickBot="1" x14ac:dyDescent="0.25">
      <c r="A41" s="51" t="s">
        <v>38</v>
      </c>
      <c r="B41" s="181">
        <f>'table 4 calculations'!C8</f>
        <v>559.20409999999993</v>
      </c>
      <c r="C41" s="181">
        <f>'table 4 calculations'!D8</f>
        <v>559.20409999999993</v>
      </c>
      <c r="D41" s="61">
        <f t="shared" ref="D41:D47" si="1">B41+C41</f>
        <v>1118.4081999999999</v>
      </c>
      <c r="E41" s="22"/>
      <c r="F41" s="250"/>
      <c r="G41" s="250"/>
      <c r="H41" s="18"/>
      <c r="K41" s="1"/>
      <c r="L41" s="1"/>
      <c r="M41" s="1"/>
      <c r="N41" s="1"/>
      <c r="O41" s="1"/>
    </row>
    <row r="42" spans="1:15" ht="17" thickTop="1" thickBot="1" x14ac:dyDescent="0.25">
      <c r="A42" s="51" t="s">
        <v>39</v>
      </c>
      <c r="B42" s="230">
        <f>'table 4 calculations'!C13</f>
        <v>1524.9465</v>
      </c>
      <c r="C42" s="230">
        <f>'table 4 calculations'!D13</f>
        <v>1524.9465</v>
      </c>
      <c r="D42" s="61">
        <f t="shared" si="1"/>
        <v>3049.893</v>
      </c>
      <c r="E42" s="4"/>
      <c r="F42" s="250"/>
      <c r="G42" s="250"/>
      <c r="H42" s="18"/>
      <c r="K42" s="1"/>
      <c r="L42" s="1"/>
      <c r="M42" s="1"/>
      <c r="N42" s="1"/>
      <c r="O42" s="3"/>
    </row>
    <row r="43" spans="1:15" ht="17" thickTop="1" thickBot="1" x14ac:dyDescent="0.25">
      <c r="A43" s="51" t="s">
        <v>40</v>
      </c>
      <c r="B43" s="231">
        <f>'table 4 calculations'!H51</f>
        <v>932.82740999999987</v>
      </c>
      <c r="C43" s="231">
        <f>'table 4 calculations'!I51</f>
        <v>2656.7189100000001</v>
      </c>
      <c r="D43" s="61">
        <f t="shared" si="1"/>
        <v>3589.5463199999999</v>
      </c>
      <c r="E43" s="4"/>
      <c r="F43" s="250"/>
      <c r="G43" s="250"/>
      <c r="H43" s="18"/>
      <c r="K43" s="1"/>
      <c r="L43" s="1"/>
      <c r="M43" s="1"/>
      <c r="N43" s="1"/>
      <c r="O43" s="1"/>
    </row>
    <row r="44" spans="1:15" ht="17" thickTop="1" thickBot="1" x14ac:dyDescent="0.25">
      <c r="A44" s="51" t="s">
        <v>41</v>
      </c>
      <c r="B44" s="231">
        <f>'table 4 calculations'!H38</f>
        <v>0</v>
      </c>
      <c r="C44" s="231">
        <f>'table 4 calculations'!I38</f>
        <v>1825.9959677999998</v>
      </c>
      <c r="D44" s="61">
        <f t="shared" si="1"/>
        <v>1825.9959677999998</v>
      </c>
      <c r="E44" s="2"/>
      <c r="H44" s="18"/>
      <c r="K44" s="1"/>
      <c r="L44" s="1"/>
      <c r="M44" s="1"/>
      <c r="N44" s="1"/>
      <c r="O44" s="1"/>
    </row>
    <row r="45" spans="1:15" ht="17" thickTop="1" thickBot="1" x14ac:dyDescent="0.25">
      <c r="A45" s="51" t="s">
        <v>42</v>
      </c>
      <c r="B45" s="139">
        <f>'table 4 calculations'!C58</f>
        <v>0</v>
      </c>
      <c r="C45" s="139">
        <f>'table 4 calculations'!C55</f>
        <v>0</v>
      </c>
      <c r="D45" s="61">
        <f t="shared" si="1"/>
        <v>0</v>
      </c>
      <c r="E45" s="1"/>
      <c r="K45" s="1"/>
      <c r="L45" s="1"/>
      <c r="M45" s="1"/>
      <c r="N45" s="1"/>
      <c r="O45" s="1"/>
    </row>
    <row r="46" spans="1:15" ht="16" thickTop="1" x14ac:dyDescent="0.2">
      <c r="A46" s="64" t="s">
        <v>43</v>
      </c>
      <c r="B46" s="14">
        <f>B38-SUM(B41:B45)</f>
        <v>31290.021990000001</v>
      </c>
      <c r="C46" s="14">
        <f>C38-SUM(C41:C45)</f>
        <v>27740.134522200002</v>
      </c>
      <c r="D46" s="70">
        <f>B46+C46</f>
        <v>59030.156512200003</v>
      </c>
      <c r="E46" s="1"/>
      <c r="F46" s="43"/>
      <c r="G46" s="43"/>
      <c r="H46" s="4"/>
      <c r="J46" s="1"/>
      <c r="K46" s="1"/>
      <c r="L46" s="43"/>
      <c r="M46" s="43"/>
      <c r="N46" s="43"/>
      <c r="O46" s="1"/>
    </row>
    <row r="47" spans="1:15" x14ac:dyDescent="0.2">
      <c r="A47" s="72" t="s">
        <v>44</v>
      </c>
      <c r="B47" s="73">
        <f>B46/12</f>
        <v>2607.5018325000001</v>
      </c>
      <c r="C47" s="73">
        <f>C46/12</f>
        <v>2311.6778768500003</v>
      </c>
      <c r="D47" s="74">
        <f t="shared" si="1"/>
        <v>4919.1797093500008</v>
      </c>
      <c r="E47" s="1"/>
      <c r="F47" s="1"/>
      <c r="G47" s="1"/>
      <c r="H47" s="4"/>
      <c r="I47" s="1"/>
      <c r="J47" s="1"/>
      <c r="K47" s="1"/>
      <c r="L47" s="43"/>
      <c r="M47" s="43"/>
      <c r="N47" s="43"/>
      <c r="O47" s="1"/>
    </row>
    <row r="48" spans="1:15" x14ac:dyDescent="0.2">
      <c r="A48" s="43"/>
      <c r="B48" s="43"/>
      <c r="C48" s="43"/>
      <c r="D48" s="43"/>
      <c r="E48" s="1"/>
      <c r="F48" s="43"/>
      <c r="G48" s="43"/>
      <c r="H48" s="1"/>
      <c r="I48" s="3"/>
      <c r="J48" s="3"/>
      <c r="K48" s="1"/>
      <c r="L48" s="43"/>
      <c r="M48" s="43"/>
      <c r="N48" s="43"/>
      <c r="O48" s="1"/>
    </row>
    <row r="49" spans="1:15" ht="17" x14ac:dyDescent="0.2">
      <c r="A49" s="79" t="s">
        <v>45</v>
      </c>
      <c r="B49" s="79"/>
      <c r="C49" s="79"/>
      <c r="D49" s="79"/>
      <c r="E49" s="3"/>
      <c r="F49" s="43"/>
      <c r="G49" s="43"/>
      <c r="H49" s="1"/>
      <c r="I49" s="1"/>
      <c r="J49" s="1"/>
      <c r="K49" s="1"/>
      <c r="L49" s="43"/>
      <c r="M49" s="43"/>
      <c r="N49" s="43"/>
      <c r="O49" s="1"/>
    </row>
    <row r="50" spans="1:15" x14ac:dyDescent="0.2">
      <c r="A50" s="286" t="s">
        <v>46</v>
      </c>
      <c r="B50" s="287"/>
      <c r="C50" s="288"/>
      <c r="D50" s="14">
        <f xml:space="preserve"> D38</f>
        <v>68614</v>
      </c>
      <c r="E50" s="43"/>
      <c r="F50" s="43"/>
      <c r="G50" s="43"/>
      <c r="H50" s="1"/>
      <c r="I50" s="1"/>
      <c r="J50" s="1"/>
      <c r="K50" s="1"/>
      <c r="L50" s="43"/>
      <c r="M50" s="43"/>
      <c r="N50" s="43"/>
      <c r="O50" s="1"/>
    </row>
    <row r="51" spans="1:15" ht="17" x14ac:dyDescent="0.2">
      <c r="A51" s="286" t="s">
        <v>47</v>
      </c>
      <c r="B51" s="287"/>
      <c r="C51" s="288"/>
      <c r="D51" s="14">
        <f>SUM(B41:B44)+SUM(C41:C44)</f>
        <v>9583.8434878000007</v>
      </c>
      <c r="E51" s="79"/>
      <c r="F51" s="43"/>
      <c r="G51" s="43"/>
      <c r="H51" s="1"/>
      <c r="I51" s="1"/>
      <c r="J51" s="1"/>
      <c r="K51" s="1"/>
      <c r="L51" s="43"/>
      <c r="M51" s="43"/>
      <c r="N51" s="43"/>
      <c r="O51" s="43"/>
    </row>
    <row r="52" spans="1:15" x14ac:dyDescent="0.2">
      <c r="A52" s="286" t="s">
        <v>48</v>
      </c>
      <c r="B52" s="287"/>
      <c r="C52" s="288"/>
      <c r="D52" s="14">
        <f>D50-D51</f>
        <v>59030.156512200003</v>
      </c>
      <c r="E52" s="1"/>
      <c r="F52" s="43"/>
      <c r="G52" s="43"/>
      <c r="H52" s="1"/>
      <c r="I52" s="1"/>
      <c r="J52" s="1"/>
      <c r="K52" s="1"/>
    </row>
    <row r="53" spans="1:15" x14ac:dyDescent="0.2">
      <c r="A53" s="286" t="s">
        <v>272</v>
      </c>
      <c r="B53" s="287"/>
      <c r="C53" s="288"/>
      <c r="D53" s="14">
        <f>C26</f>
        <v>8544.4074999999993</v>
      </c>
      <c r="E53" s="1"/>
      <c r="F53" s="43"/>
      <c r="G53" s="43"/>
      <c r="H53" s="3"/>
      <c r="I53" s="1"/>
      <c r="J53" s="1"/>
      <c r="K53" s="1"/>
    </row>
    <row r="54" spans="1:15" x14ac:dyDescent="0.2">
      <c r="A54" s="286" t="s">
        <v>49</v>
      </c>
      <c r="B54" s="287"/>
      <c r="C54" s="288"/>
      <c r="D54" s="14">
        <f>D52+D53</f>
        <v>67574.564012200004</v>
      </c>
      <c r="E54" s="1"/>
      <c r="F54" s="43"/>
      <c r="G54" s="43"/>
      <c r="H54" s="1"/>
      <c r="I54" s="1"/>
      <c r="J54" s="1"/>
      <c r="K54" s="3"/>
    </row>
    <row r="55" spans="1:15" x14ac:dyDescent="0.2">
      <c r="A55" s="286" t="s">
        <v>50</v>
      </c>
      <c r="B55" s="287"/>
      <c r="C55" s="288"/>
      <c r="D55" s="14">
        <f>C17</f>
        <v>67468.550715818885</v>
      </c>
      <c r="E55" s="1"/>
      <c r="F55" s="43"/>
      <c r="G55" s="1"/>
      <c r="H55" s="1"/>
      <c r="I55" s="1"/>
      <c r="J55" s="1"/>
      <c r="K55" s="1"/>
    </row>
    <row r="56" spans="1:15" x14ac:dyDescent="0.2">
      <c r="A56" s="286" t="s">
        <v>51</v>
      </c>
      <c r="B56" s="287"/>
      <c r="C56" s="288"/>
      <c r="D56" s="14">
        <f>D54-D55</f>
        <v>106.01329638111929</v>
      </c>
      <c r="E56" s="1"/>
      <c r="F56" s="43"/>
      <c r="G56" s="43"/>
      <c r="H56" s="1"/>
      <c r="I56" s="1"/>
      <c r="J56" s="1"/>
      <c r="K56" s="1"/>
    </row>
    <row r="57" spans="1:15" x14ac:dyDescent="0.2">
      <c r="A57" s="43"/>
      <c r="B57" s="43"/>
      <c r="C57" s="43"/>
      <c r="D57" s="43"/>
      <c r="E57" s="1"/>
      <c r="F57" s="43"/>
      <c r="G57" s="43"/>
      <c r="H57" s="1"/>
      <c r="I57" s="1"/>
      <c r="J57" s="1"/>
      <c r="K57" s="1"/>
    </row>
    <row r="58" spans="1:15" x14ac:dyDescent="0.2">
      <c r="A58" s="43"/>
      <c r="B58" s="43"/>
      <c r="C58" s="43"/>
      <c r="D58" s="43"/>
      <c r="E58" s="3"/>
      <c r="F58" s="43"/>
      <c r="G58" s="43"/>
      <c r="H58" s="1"/>
      <c r="I58" s="1"/>
      <c r="J58" s="1"/>
      <c r="K58" s="1"/>
    </row>
    <row r="59" spans="1:15" x14ac:dyDescent="0.2">
      <c r="A59" s="43"/>
      <c r="B59" s="43"/>
      <c r="C59" s="43"/>
      <c r="D59" s="43"/>
      <c r="E59" s="1"/>
      <c r="F59" s="43"/>
      <c r="G59" s="43"/>
      <c r="H59" s="1"/>
      <c r="I59" s="43"/>
      <c r="J59" s="43"/>
      <c r="K59" s="1"/>
    </row>
    <row r="60" spans="1:15" x14ac:dyDescent="0.2">
      <c r="H60" s="1"/>
      <c r="I60" s="43"/>
      <c r="J60" s="43"/>
      <c r="K60" s="1"/>
    </row>
    <row r="61" spans="1:15" x14ac:dyDescent="0.2">
      <c r="H61" s="1"/>
      <c r="I61" s="43"/>
      <c r="J61" s="43"/>
      <c r="K61" s="1"/>
    </row>
    <row r="62" spans="1:15" x14ac:dyDescent="0.2">
      <c r="H62" s="1"/>
      <c r="I62" s="43"/>
      <c r="J62" s="43"/>
      <c r="K62" s="1"/>
    </row>
    <row r="63" spans="1:15" x14ac:dyDescent="0.2">
      <c r="H63" s="43"/>
      <c r="I63" s="43"/>
      <c r="J63" s="43"/>
      <c r="K63" s="1"/>
    </row>
  </sheetData>
  <mergeCells count="10">
    <mergeCell ref="A1:E1"/>
    <mergeCell ref="A2:B2"/>
    <mergeCell ref="F35:G35"/>
    <mergeCell ref="A56:C56"/>
    <mergeCell ref="A50:C50"/>
    <mergeCell ref="A51:C51"/>
    <mergeCell ref="A52:C52"/>
    <mergeCell ref="A53:C53"/>
    <mergeCell ref="A54:C54"/>
    <mergeCell ref="A55:C55"/>
  </mergeCells>
  <phoneticPr fontId="7" type="noConversion"/>
  <pageMargins left="0.7" right="0.7" top="0.75" bottom="0.75" header="0.3" footer="0.3"/>
  <pageSetup orientation="portrait" r:id="rId1"/>
  <ignoredErrors>
    <ignoredError sqref="C11 B8 B12" formula="1"/>
    <ignoredError sqref="D7:D17" calculatedColumn="1"/>
  </ignoredErrors>
  <legacy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79"/>
  <sheetViews>
    <sheetView topLeftCell="A25" workbookViewId="0">
      <selection activeCell="K31" sqref="K31"/>
    </sheetView>
  </sheetViews>
  <sheetFormatPr baseColWidth="10" defaultColWidth="8.83203125" defaultRowHeight="15" x14ac:dyDescent="0.2"/>
  <cols>
    <col min="1" max="1" width="3.1640625" style="43" customWidth="1"/>
    <col min="2" max="2" width="26" style="43" customWidth="1"/>
    <col min="3" max="6" width="8.83203125" style="43"/>
    <col min="7" max="7" width="13.1640625" style="43" customWidth="1"/>
    <col min="8" max="8" width="37.83203125" style="43" customWidth="1"/>
    <col min="9" max="9" width="12.5" style="43" customWidth="1"/>
    <col min="10" max="10" width="11.5" style="43" customWidth="1"/>
    <col min="11" max="11" width="13.5" style="43" customWidth="1"/>
    <col min="12" max="12" width="11.6640625" style="43" customWidth="1"/>
    <col min="13" max="16384" width="8.83203125" style="43"/>
  </cols>
  <sheetData>
    <row r="1" spans="2:12" x14ac:dyDescent="0.2">
      <c r="B1" s="43" t="s">
        <v>82</v>
      </c>
    </row>
    <row r="2" spans="2:12" x14ac:dyDescent="0.2">
      <c r="B2" s="43" t="s">
        <v>83</v>
      </c>
    </row>
    <row r="4" spans="2:12" x14ac:dyDescent="0.2">
      <c r="B4" s="43" t="s">
        <v>84</v>
      </c>
    </row>
    <row r="6" spans="2:12" x14ac:dyDescent="0.2">
      <c r="B6" s="43" t="s">
        <v>85</v>
      </c>
    </row>
    <row r="8" spans="2:12" ht="18" thickBot="1" x14ac:dyDescent="0.25">
      <c r="B8" s="129" t="s">
        <v>15</v>
      </c>
      <c r="H8" s="130" t="s">
        <v>86</v>
      </c>
      <c r="L8" s="43" t="s">
        <v>126</v>
      </c>
    </row>
    <row r="9" spans="2:12" ht="16" thickBot="1" x14ac:dyDescent="0.25">
      <c r="B9" s="131" t="s">
        <v>17</v>
      </c>
      <c r="C9" s="132" t="s">
        <v>87</v>
      </c>
      <c r="D9" s="132" t="s">
        <v>88</v>
      </c>
      <c r="E9" s="133" t="s">
        <v>89</v>
      </c>
      <c r="H9" s="134" t="s">
        <v>90</v>
      </c>
      <c r="I9" s="135" t="s">
        <v>31</v>
      </c>
      <c r="J9" s="135" t="s">
        <v>32</v>
      </c>
      <c r="K9" s="136" t="s">
        <v>14</v>
      </c>
    </row>
    <row r="10" spans="2:12" ht="17" thickTop="1" thickBot="1" x14ac:dyDescent="0.25">
      <c r="B10" s="137" t="s">
        <v>91</v>
      </c>
      <c r="C10" s="141">
        <f>D10/6</f>
        <v>698.60833333333323</v>
      </c>
      <c r="D10" s="142">
        <f>I43</f>
        <v>4191.6499999999996</v>
      </c>
      <c r="E10" s="138"/>
      <c r="H10" s="128" t="s">
        <v>35</v>
      </c>
      <c r="I10" s="179">
        <f>'LW 2019 Income'!G21</f>
        <v>35035</v>
      </c>
      <c r="J10" s="179">
        <f>'LW 2019 Income'!H21</f>
        <v>35035</v>
      </c>
      <c r="K10" s="179">
        <f>'LW 2019 Income'!I21</f>
        <v>70070</v>
      </c>
    </row>
    <row r="11" spans="2:12" ht="17" thickTop="1" thickBot="1" x14ac:dyDescent="0.25">
      <c r="B11" s="137" t="s">
        <v>92</v>
      </c>
      <c r="C11" s="141">
        <f>D11/6</f>
        <v>725.45958333333328</v>
      </c>
      <c r="D11" s="142">
        <f>I44</f>
        <v>4352.7574999999997</v>
      </c>
      <c r="E11" s="138"/>
      <c r="H11" s="48" t="s">
        <v>16</v>
      </c>
      <c r="I11" s="179">
        <f>'LW 2019 Income'!G22</f>
        <v>0</v>
      </c>
      <c r="J11" s="179">
        <f>'LW 2019 Income'!H22</f>
        <v>0</v>
      </c>
      <c r="K11" s="179">
        <f>'LW 2019 Income'!I22</f>
        <v>0</v>
      </c>
    </row>
    <row r="12" spans="2:12" ht="17" thickTop="1" thickBot="1" x14ac:dyDescent="0.25">
      <c r="B12" s="137" t="s">
        <v>19</v>
      </c>
      <c r="C12" s="143">
        <f>D12/12</f>
        <v>0</v>
      </c>
      <c r="D12" s="144">
        <f>I54</f>
        <v>0</v>
      </c>
      <c r="E12" s="138"/>
      <c r="H12" s="127" t="s">
        <v>64</v>
      </c>
      <c r="I12" s="179">
        <f>'LW 2019 Income'!G23</f>
        <v>13000</v>
      </c>
      <c r="J12" s="179">
        <f>'LW 2019 Income'!H23</f>
        <v>0</v>
      </c>
      <c r="K12" s="179">
        <f>'LW 2019 Income'!I23</f>
        <v>0</v>
      </c>
    </row>
    <row r="13" spans="2:12" ht="17" thickTop="1" thickBot="1" x14ac:dyDescent="0.25">
      <c r="B13" s="137"/>
      <c r="C13" s="233" t="s">
        <v>186</v>
      </c>
      <c r="D13" s="233"/>
      <c r="E13" s="138"/>
      <c r="H13" s="48" t="s">
        <v>36</v>
      </c>
      <c r="I13" s="179">
        <f>'LW 2019 Income'!G24</f>
        <v>-13000</v>
      </c>
      <c r="J13" s="179">
        <f>'LW 2019 Income'!H24</f>
        <v>0</v>
      </c>
      <c r="K13" s="179">
        <f>'LW 2019 Income'!I24</f>
        <v>0</v>
      </c>
    </row>
    <row r="14" spans="2:12" ht="17" thickTop="1" thickBot="1" x14ac:dyDescent="0.25">
      <c r="B14" s="137" t="s">
        <v>248</v>
      </c>
      <c r="C14" s="233" t="s">
        <v>185</v>
      </c>
      <c r="D14" s="233"/>
      <c r="E14" s="138"/>
      <c r="H14" s="127" t="s">
        <v>37</v>
      </c>
      <c r="I14" s="179">
        <f>'LW 2019 Income'!G25</f>
        <v>22035</v>
      </c>
      <c r="J14" s="179">
        <f>'LW 2019 Income'!H25</f>
        <v>35035</v>
      </c>
      <c r="K14" s="179">
        <f>'LW 2019 Income'!I25</f>
        <v>57070</v>
      </c>
    </row>
    <row r="15" spans="2:12" ht="17" thickTop="1" thickBot="1" x14ac:dyDescent="0.25">
      <c r="B15" s="137"/>
      <c r="C15" s="145"/>
      <c r="D15" s="146"/>
      <c r="E15" s="138"/>
      <c r="H15" s="48" t="s">
        <v>38</v>
      </c>
      <c r="I15" s="179">
        <f>'LW 2019 Income'!G26</f>
        <v>571.07049999999992</v>
      </c>
      <c r="J15" s="179">
        <f>'LW 2019 Income'!H26</f>
        <v>571.07049999999992</v>
      </c>
      <c r="K15" s="179">
        <f>'LW 2019 Income'!I26</f>
        <v>1142.1409999999998</v>
      </c>
    </row>
    <row r="16" spans="2:12" ht="17" thickTop="1" thickBot="1" x14ac:dyDescent="0.25">
      <c r="B16" s="137"/>
      <c r="C16" s="147"/>
      <c r="D16" s="147"/>
      <c r="E16" s="138"/>
      <c r="H16" s="127" t="s">
        <v>39</v>
      </c>
      <c r="I16" s="179">
        <f>'LW 2019 Income'!G27</f>
        <v>1560.9825000000001</v>
      </c>
      <c r="J16" s="179">
        <f>'LW 2019 Income'!H27</f>
        <v>1560.9825000000001</v>
      </c>
      <c r="K16" s="179">
        <f>'LW 2019 Income'!I27</f>
        <v>3121.9650000000001</v>
      </c>
    </row>
    <row r="17" spans="2:14" ht="17" thickTop="1" thickBot="1" x14ac:dyDescent="0.25">
      <c r="B17" s="148"/>
      <c r="C17" s="149"/>
      <c r="D17" s="149"/>
      <c r="E17" s="150"/>
      <c r="H17" s="48" t="s">
        <v>40</v>
      </c>
      <c r="I17" s="179">
        <f>'LW 2019 Income'!G28</f>
        <v>1034.8420500000002</v>
      </c>
      <c r="J17" s="179">
        <f>'LW 2019 Income'!H28</f>
        <v>2762.0095500000002</v>
      </c>
      <c r="K17" s="179">
        <f>'LW 2019 Income'!I28</f>
        <v>3796.8516000000004</v>
      </c>
    </row>
    <row r="18" spans="2:14" ht="16" thickBot="1" x14ac:dyDescent="0.25">
      <c r="H18" s="127" t="s">
        <v>41</v>
      </c>
      <c r="I18" s="179">
        <f>'LW 2019 Income'!G29</f>
        <v>0</v>
      </c>
      <c r="J18" s="179">
        <f>'LW 2019 Income'!H29</f>
        <v>1887.0645389999995</v>
      </c>
      <c r="K18" s="179">
        <f>'LW 2019 Income'!I29</f>
        <v>1887.0645389999995</v>
      </c>
    </row>
    <row r="19" spans="2:14" ht="21" thickTop="1" thickBot="1" x14ac:dyDescent="0.3">
      <c r="B19" s="290" t="s">
        <v>93</v>
      </c>
      <c r="C19" s="291"/>
      <c r="H19" s="48" t="s">
        <v>42</v>
      </c>
      <c r="I19" s="179">
        <f>'LW 2019 Income'!G30</f>
        <v>0</v>
      </c>
      <c r="J19" s="179">
        <f>'LW 2019 Income'!H30</f>
        <v>0</v>
      </c>
      <c r="K19" s="179">
        <f>'LW 2019 Income'!I30</f>
        <v>0</v>
      </c>
    </row>
    <row r="20" spans="2:14" ht="17" thickTop="1" thickBot="1" x14ac:dyDescent="0.25">
      <c r="B20" s="137" t="s">
        <v>94</v>
      </c>
      <c r="C20" s="140">
        <f>COUNTIF(C21:C22,"&lt;18")</f>
        <v>2</v>
      </c>
      <c r="H20" s="127" t="s">
        <v>43</v>
      </c>
      <c r="I20" s="179">
        <f>'LW 2019 Income'!G31</f>
        <v>31868.104950000001</v>
      </c>
      <c r="J20" s="179">
        <f>'LW 2019 Income'!H31</f>
        <v>28253.872910999999</v>
      </c>
      <c r="K20" s="179">
        <f>'LW 2019 Income'!I31</f>
        <v>60121.977860999999</v>
      </c>
      <c r="M20" s="175"/>
      <c r="N20" s="175"/>
    </row>
    <row r="21" spans="2:14" ht="17" thickTop="1" thickBot="1" x14ac:dyDescent="0.25">
      <c r="B21" s="137" t="s">
        <v>95</v>
      </c>
      <c r="C21" s="152">
        <v>2</v>
      </c>
    </row>
    <row r="22" spans="2:14" x14ac:dyDescent="0.2">
      <c r="B22" s="137" t="s">
        <v>96</v>
      </c>
      <c r="C22" s="152">
        <v>7</v>
      </c>
      <c r="H22" s="176" t="s">
        <v>101</v>
      </c>
      <c r="I22" s="177"/>
    </row>
    <row r="23" spans="2:14" x14ac:dyDescent="0.2">
      <c r="B23" s="137"/>
      <c r="C23" s="138"/>
      <c r="H23" s="161" t="s">
        <v>102</v>
      </c>
      <c r="I23" s="138"/>
    </row>
    <row r="24" spans="2:14" ht="25" x14ac:dyDescent="0.2">
      <c r="B24" s="156" t="s">
        <v>97</v>
      </c>
      <c r="C24" s="157">
        <v>0</v>
      </c>
      <c r="D24" s="44" t="s">
        <v>98</v>
      </c>
      <c r="H24" s="162" t="s">
        <v>103</v>
      </c>
      <c r="I24" s="151">
        <v>30450</v>
      </c>
      <c r="K24" s="248" t="s">
        <v>253</v>
      </c>
      <c r="L24" s="244"/>
      <c r="M24" s="244"/>
      <c r="N24" s="244"/>
    </row>
    <row r="25" spans="2:14" x14ac:dyDescent="0.2">
      <c r="B25" s="156" t="s">
        <v>97</v>
      </c>
      <c r="C25" s="158">
        <f>C24*0</f>
        <v>0</v>
      </c>
      <c r="D25" s="44" t="s">
        <v>99</v>
      </c>
      <c r="H25" s="162" t="s">
        <v>104</v>
      </c>
      <c r="I25" s="151">
        <v>65975</v>
      </c>
    </row>
    <row r="26" spans="2:14" ht="16" thickBot="1" x14ac:dyDescent="0.25">
      <c r="B26" s="159" t="s">
        <v>97</v>
      </c>
      <c r="C26" s="160">
        <f>C25</f>
        <v>0</v>
      </c>
      <c r="D26" s="44" t="s">
        <v>100</v>
      </c>
      <c r="H26" s="163" t="s">
        <v>105</v>
      </c>
      <c r="I26" s="151">
        <v>6496</v>
      </c>
    </row>
    <row r="27" spans="2:14" x14ac:dyDescent="0.2">
      <c r="H27" s="163" t="s">
        <v>106</v>
      </c>
      <c r="I27" s="151">
        <v>5481</v>
      </c>
      <c r="M27" s="175"/>
      <c r="N27" s="175"/>
    </row>
    <row r="28" spans="2:14" x14ac:dyDescent="0.2">
      <c r="H28" s="161" t="s">
        <v>107</v>
      </c>
      <c r="I28" s="138"/>
    </row>
    <row r="29" spans="2:14" x14ac:dyDescent="0.2">
      <c r="H29" s="162" t="s">
        <v>103</v>
      </c>
      <c r="I29" s="151">
        <v>31059</v>
      </c>
    </row>
    <row r="30" spans="2:14" x14ac:dyDescent="0.2">
      <c r="H30" s="162" t="s">
        <v>104</v>
      </c>
      <c r="I30" s="151">
        <v>67295</v>
      </c>
    </row>
    <row r="31" spans="2:14" x14ac:dyDescent="0.2">
      <c r="H31" s="163" t="s">
        <v>105</v>
      </c>
      <c r="I31" s="151">
        <v>6626</v>
      </c>
    </row>
    <row r="32" spans="2:14" x14ac:dyDescent="0.2">
      <c r="H32" s="163" t="s">
        <v>106</v>
      </c>
      <c r="I32" s="151">
        <v>5591</v>
      </c>
    </row>
    <row r="33" spans="8:10" ht="16" x14ac:dyDescent="0.2">
      <c r="H33" s="164" t="s">
        <v>108</v>
      </c>
      <c r="I33" s="138"/>
    </row>
    <row r="34" spans="8:10" x14ac:dyDescent="0.2">
      <c r="H34" s="163" t="s">
        <v>109</v>
      </c>
      <c r="I34" s="153">
        <v>7.0000000000000007E-2</v>
      </c>
    </row>
    <row r="35" spans="8:10" x14ac:dyDescent="0.2">
      <c r="H35" s="163" t="s">
        <v>110</v>
      </c>
      <c r="I35" s="212">
        <v>0.13500000000000001</v>
      </c>
    </row>
    <row r="36" spans="8:10" x14ac:dyDescent="0.2">
      <c r="H36" s="163" t="s">
        <v>111</v>
      </c>
      <c r="I36" s="153">
        <v>0.19</v>
      </c>
    </row>
    <row r="37" spans="8:10" x14ac:dyDescent="0.2">
      <c r="H37" s="163" t="s">
        <v>112</v>
      </c>
      <c r="I37" s="153">
        <v>0.23</v>
      </c>
    </row>
    <row r="38" spans="8:10" ht="16" x14ac:dyDescent="0.2">
      <c r="H38" s="164" t="s">
        <v>113</v>
      </c>
      <c r="I38" s="165"/>
    </row>
    <row r="39" spans="8:10" x14ac:dyDescent="0.2">
      <c r="H39" s="163" t="s">
        <v>109</v>
      </c>
      <c r="I39" s="153">
        <v>3.2000000000000001E-2</v>
      </c>
    </row>
    <row r="40" spans="8:10" x14ac:dyDescent="0.2">
      <c r="H40" s="163" t="s">
        <v>110</v>
      </c>
      <c r="I40" s="212">
        <v>5.7000000000000002E-2</v>
      </c>
    </row>
    <row r="41" spans="8:10" x14ac:dyDescent="0.2">
      <c r="H41" s="163" t="s">
        <v>111</v>
      </c>
      <c r="I41" s="153">
        <v>0.08</v>
      </c>
    </row>
    <row r="42" spans="8:10" x14ac:dyDescent="0.2">
      <c r="H42" s="163" t="s">
        <v>112</v>
      </c>
      <c r="I42" s="166">
        <v>9.5000000000000001E-2</v>
      </c>
    </row>
    <row r="43" spans="8:10" ht="16" x14ac:dyDescent="0.2">
      <c r="H43" s="167" t="s">
        <v>114</v>
      </c>
      <c r="I43" s="168">
        <f>0.5*IF(K14&lt;I24,(I26+I27),IF(K14&lt;I25,(I26+I27-(K14-I24)*I35),(I26+I27-(I25-I24)*I35-(K14-I25)*I40)))</f>
        <v>4191.6499999999996</v>
      </c>
      <c r="J43" s="43" t="s">
        <v>115</v>
      </c>
    </row>
    <row r="44" spans="8:10" ht="16" x14ac:dyDescent="0.2">
      <c r="H44" s="169" t="s">
        <v>116</v>
      </c>
      <c r="I44" s="170">
        <f>0.5*IF(K14&lt;I29,(I31+I32),IF(K14&lt;I30,(I31+I32-(K14-I29)*I35),(I31+I32-(I30-I29)*I35-(K14-I30)*I40)))</f>
        <v>4352.7574999999997</v>
      </c>
      <c r="J44" s="43" t="s">
        <v>115</v>
      </c>
    </row>
    <row r="45" spans="8:10" x14ac:dyDescent="0.2">
      <c r="H45" s="137" t="s">
        <v>117</v>
      </c>
      <c r="I45" s="171">
        <f>(I26+I27-(I25-I24)*I35)/I40+I25</f>
        <v>191959.64912280702</v>
      </c>
    </row>
    <row r="46" spans="8:10" ht="16" thickBot="1" x14ac:dyDescent="0.25">
      <c r="H46" s="148" t="s">
        <v>118</v>
      </c>
      <c r="I46" s="172">
        <f>(I31+I32-(I30-I29)*I35)/I40+I30</f>
        <v>195806.22807017542</v>
      </c>
    </row>
    <row r="47" spans="8:10" ht="16" thickBot="1" x14ac:dyDescent="0.25"/>
    <row r="48" spans="8:10" x14ac:dyDescent="0.2">
      <c r="H48" s="292" t="s">
        <v>119</v>
      </c>
      <c r="I48" s="293"/>
    </row>
    <row r="49" spans="8:9" x14ac:dyDescent="0.2">
      <c r="H49" s="137" t="s">
        <v>120</v>
      </c>
      <c r="I49" s="151">
        <v>284</v>
      </c>
    </row>
    <row r="50" spans="8:9" x14ac:dyDescent="0.2">
      <c r="H50" s="137" t="s">
        <v>121</v>
      </c>
      <c r="I50" s="151">
        <v>284</v>
      </c>
    </row>
    <row r="51" spans="8:9" x14ac:dyDescent="0.2">
      <c r="H51" s="137" t="s">
        <v>122</v>
      </c>
      <c r="I51" s="151">
        <v>149</v>
      </c>
    </row>
    <row r="52" spans="8:9" x14ac:dyDescent="0.2">
      <c r="H52" s="137" t="s">
        <v>123</v>
      </c>
      <c r="I52" s="151">
        <v>36976</v>
      </c>
    </row>
    <row r="53" spans="8:9" x14ac:dyDescent="0.2">
      <c r="H53" s="137" t="s">
        <v>124</v>
      </c>
      <c r="I53" s="154">
        <v>0.05</v>
      </c>
    </row>
    <row r="54" spans="8:9" ht="16" thickBot="1" x14ac:dyDescent="0.25">
      <c r="H54" s="173" t="s">
        <v>125</v>
      </c>
      <c r="I54" s="155">
        <f>MAX(0,(I49+I50+(I51*C20))-IF(K14&lt;I52,0,((K14-I52)*I53)))</f>
        <v>0</v>
      </c>
    </row>
    <row r="69" spans="8:9" x14ac:dyDescent="0.2">
      <c r="H69" s="294"/>
      <c r="I69" s="294"/>
    </row>
    <row r="78" spans="8:9" x14ac:dyDescent="0.2">
      <c r="H78" s="289"/>
      <c r="I78" s="289"/>
    </row>
    <row r="79" spans="8:9" x14ac:dyDescent="0.2">
      <c r="H79" s="175"/>
      <c r="I79" s="175"/>
    </row>
  </sheetData>
  <mergeCells count="4">
    <mergeCell ref="H78:I78"/>
    <mergeCell ref="B19:C19"/>
    <mergeCell ref="H48:I48"/>
    <mergeCell ref="H69:I69"/>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1"/>
  <sheetViews>
    <sheetView topLeftCell="A29" workbookViewId="0">
      <selection activeCell="I50" sqref="I50"/>
    </sheetView>
  </sheetViews>
  <sheetFormatPr baseColWidth="10" defaultColWidth="8.83203125" defaultRowHeight="15" x14ac:dyDescent="0.2"/>
  <cols>
    <col min="2" max="2" width="31.6640625" customWidth="1"/>
    <col min="3" max="3" width="10.33203125" customWidth="1"/>
    <col min="6" max="6" width="5" style="234" customWidth="1"/>
    <col min="7" max="7" width="30.1640625" customWidth="1"/>
    <col min="11" max="11" width="14.6640625" customWidth="1"/>
    <col min="12" max="12" width="15.1640625" customWidth="1"/>
  </cols>
  <sheetData>
    <row r="1" spans="1:14" x14ac:dyDescent="0.2">
      <c r="A1" s="43" t="s">
        <v>129</v>
      </c>
      <c r="B1" s="43"/>
      <c r="C1" s="43"/>
      <c r="D1" s="43"/>
      <c r="E1" s="43"/>
      <c r="G1" s="43"/>
      <c r="H1" s="43"/>
      <c r="I1" s="43"/>
      <c r="J1" s="43"/>
      <c r="K1" s="43"/>
      <c r="L1" s="43"/>
      <c r="M1" s="43"/>
      <c r="N1" s="43"/>
    </row>
    <row r="2" spans="1:14" x14ac:dyDescent="0.2">
      <c r="A2" s="44" t="s">
        <v>130</v>
      </c>
      <c r="B2" s="43"/>
      <c r="C2" s="43"/>
      <c r="D2" s="43"/>
      <c r="E2" s="43"/>
      <c r="G2" s="43"/>
      <c r="H2" s="43"/>
      <c r="I2" s="43"/>
      <c r="J2" s="43"/>
      <c r="K2" s="43"/>
      <c r="L2" s="43"/>
      <c r="M2" s="43"/>
      <c r="N2" s="43"/>
    </row>
    <row r="3" spans="1:14" x14ac:dyDescent="0.2">
      <c r="A3" s="43"/>
      <c r="B3" s="43"/>
      <c r="C3" s="43"/>
      <c r="D3" s="43"/>
      <c r="E3" s="43"/>
      <c r="G3" s="43"/>
      <c r="H3" s="43"/>
      <c r="I3" s="43"/>
      <c r="J3" s="43"/>
      <c r="K3" s="43"/>
      <c r="L3" s="43"/>
      <c r="M3" s="43"/>
      <c r="N3" s="43"/>
    </row>
    <row r="4" spans="1:14" x14ac:dyDescent="0.2">
      <c r="A4" s="43"/>
      <c r="B4" s="43"/>
      <c r="C4" s="43"/>
      <c r="D4" s="43"/>
      <c r="E4" s="43"/>
      <c r="G4" s="43"/>
      <c r="H4" s="43"/>
      <c r="I4" s="43"/>
      <c r="J4" s="43"/>
      <c r="K4" s="43"/>
      <c r="L4" s="43"/>
      <c r="M4" s="43"/>
      <c r="N4" s="43"/>
    </row>
    <row r="5" spans="1:14" ht="16" thickBot="1" x14ac:dyDescent="0.25">
      <c r="A5" s="43"/>
      <c r="B5" s="43"/>
      <c r="C5" s="43"/>
      <c r="D5" s="43"/>
      <c r="E5" s="43"/>
      <c r="G5" s="43"/>
      <c r="H5" s="43"/>
      <c r="I5" s="43"/>
      <c r="J5" s="43"/>
      <c r="K5" s="43"/>
      <c r="L5" s="43"/>
      <c r="M5" s="43"/>
      <c r="N5" s="43"/>
    </row>
    <row r="6" spans="1:14" x14ac:dyDescent="0.2">
      <c r="A6" s="43"/>
      <c r="B6" s="183" t="s">
        <v>131</v>
      </c>
      <c r="C6" s="184"/>
      <c r="D6" s="184"/>
      <c r="E6" s="184"/>
      <c r="F6" s="184"/>
      <c r="G6" s="184"/>
      <c r="H6" s="185"/>
      <c r="I6" s="43"/>
      <c r="J6" s="43"/>
      <c r="K6" s="43"/>
      <c r="L6" s="43"/>
      <c r="M6" s="43"/>
      <c r="N6" s="43"/>
    </row>
    <row r="7" spans="1:14" x14ac:dyDescent="0.2">
      <c r="A7" s="43"/>
      <c r="B7" s="137" t="s">
        <v>132</v>
      </c>
      <c r="C7" s="186">
        <v>1.6299999999999999E-2</v>
      </c>
      <c r="D7" s="147" t="s">
        <v>133</v>
      </c>
      <c r="E7" s="147"/>
      <c r="F7" s="147"/>
      <c r="G7" s="147"/>
      <c r="H7" s="138"/>
      <c r="I7" s="43"/>
      <c r="J7" s="43"/>
      <c r="K7" s="43"/>
      <c r="L7" s="43"/>
      <c r="M7" s="43"/>
      <c r="N7" s="43"/>
    </row>
    <row r="8" spans="1:14" ht="16" thickBot="1" x14ac:dyDescent="0.25">
      <c r="A8" s="43"/>
      <c r="B8" s="148" t="s">
        <v>134</v>
      </c>
      <c r="C8" s="187">
        <f>C7*'LW 2019 Income'!B38</f>
        <v>559.20409999999993</v>
      </c>
      <c r="D8" s="187">
        <f>C7*'LW 2019 Income'!C38</f>
        <v>559.20409999999993</v>
      </c>
      <c r="E8" s="149"/>
      <c r="F8" s="149"/>
      <c r="G8" s="149"/>
      <c r="H8" s="150"/>
      <c r="I8" s="43"/>
      <c r="J8" s="43"/>
      <c r="K8" s="43"/>
      <c r="L8" s="43"/>
      <c r="M8" s="43"/>
      <c r="N8" s="43"/>
    </row>
    <row r="9" spans="1:14" ht="16" thickBot="1" x14ac:dyDescent="0.25">
      <c r="A9" s="43"/>
      <c r="B9" s="43"/>
      <c r="C9" s="43"/>
      <c r="D9" s="43"/>
      <c r="E9" s="43"/>
      <c r="G9" s="43"/>
      <c r="H9" s="43"/>
      <c r="I9" s="43"/>
      <c r="J9" s="43"/>
      <c r="K9" s="43"/>
      <c r="L9" s="43"/>
      <c r="M9" s="43"/>
      <c r="N9" s="43"/>
    </row>
    <row r="10" spans="1:14" x14ac:dyDescent="0.2">
      <c r="A10" s="43"/>
      <c r="B10" s="183" t="s">
        <v>135</v>
      </c>
      <c r="C10" s="184"/>
      <c r="D10" s="185"/>
      <c r="E10" s="43"/>
      <c r="G10" s="43"/>
      <c r="H10" s="43"/>
      <c r="I10" s="43"/>
      <c r="J10" s="43"/>
      <c r="K10" s="43"/>
      <c r="L10" s="43"/>
      <c r="M10" s="43"/>
      <c r="N10" s="43"/>
    </row>
    <row r="11" spans="1:14" x14ac:dyDescent="0.2">
      <c r="A11" s="43"/>
      <c r="B11" s="137" t="s">
        <v>136</v>
      </c>
      <c r="C11" s="186">
        <v>4.9500000000000002E-2</v>
      </c>
      <c r="D11" s="138"/>
      <c r="E11" s="43"/>
      <c r="G11" s="43"/>
      <c r="H11" s="43"/>
      <c r="I11" s="43"/>
      <c r="J11" s="43"/>
      <c r="K11" s="43"/>
      <c r="L11" s="43"/>
      <c r="M11" s="43"/>
      <c r="N11" s="43"/>
    </row>
    <row r="12" spans="1:14" x14ac:dyDescent="0.2">
      <c r="A12" s="43"/>
      <c r="B12" s="137" t="s">
        <v>137</v>
      </c>
      <c r="C12" s="188">
        <v>3500</v>
      </c>
      <c r="D12" s="138"/>
      <c r="E12" s="43"/>
      <c r="G12" s="43"/>
      <c r="H12" s="43"/>
      <c r="I12" s="43"/>
      <c r="J12" s="43"/>
      <c r="K12" s="43"/>
      <c r="L12" s="43"/>
      <c r="M12" s="43"/>
      <c r="N12" s="43"/>
    </row>
    <row r="13" spans="1:14" ht="16" thickBot="1" x14ac:dyDescent="0.25">
      <c r="A13" s="43"/>
      <c r="B13" s="189" t="s">
        <v>138</v>
      </c>
      <c r="C13" s="190">
        <f>('LW 2019 Income'!B38-$C$12)*$C$11</f>
        <v>1524.9465</v>
      </c>
      <c r="D13" s="174">
        <f>('LW 2019 Income'!C38-$C$12)*$C$11</f>
        <v>1524.9465</v>
      </c>
      <c r="E13" s="43"/>
      <c r="G13" s="43"/>
      <c r="H13" s="43"/>
      <c r="I13" s="43"/>
      <c r="J13" s="43"/>
      <c r="K13" s="43"/>
      <c r="L13" s="43"/>
      <c r="M13" s="43"/>
      <c r="N13" s="43"/>
    </row>
    <row r="14" spans="1:14" x14ac:dyDescent="0.2">
      <c r="A14" s="43"/>
      <c r="B14" s="43"/>
      <c r="C14" s="43"/>
      <c r="D14" s="43"/>
      <c r="E14" s="43"/>
      <c r="G14" s="43"/>
      <c r="H14" s="43"/>
      <c r="I14" s="43"/>
      <c r="J14" s="43"/>
      <c r="K14" s="43"/>
      <c r="L14" s="43"/>
      <c r="M14" s="43"/>
      <c r="N14" s="43"/>
    </row>
    <row r="15" spans="1:14" x14ac:dyDescent="0.2">
      <c r="A15" s="43"/>
      <c r="B15" s="191" t="s">
        <v>139</v>
      </c>
      <c r="C15" s="44" t="s">
        <v>140</v>
      </c>
      <c r="D15" s="44" t="s">
        <v>141</v>
      </c>
      <c r="E15" s="43"/>
      <c r="G15" s="43"/>
      <c r="H15" s="43"/>
      <c r="I15" s="43"/>
      <c r="J15" s="43"/>
      <c r="K15" s="43"/>
      <c r="L15" s="43"/>
      <c r="M15" s="43"/>
      <c r="N15" s="43"/>
    </row>
    <row r="16" spans="1:14" x14ac:dyDescent="0.2">
      <c r="A16" s="43"/>
      <c r="B16" s="43" t="s">
        <v>142</v>
      </c>
      <c r="C16" s="192">
        <v>9247</v>
      </c>
      <c r="D16" s="192">
        <v>11809</v>
      </c>
      <c r="E16" s="43"/>
      <c r="G16" s="244" t="s">
        <v>245</v>
      </c>
      <c r="H16" s="43"/>
      <c r="I16" s="43"/>
      <c r="J16" s="43"/>
      <c r="K16" s="43"/>
      <c r="L16" s="43"/>
      <c r="M16" s="43"/>
      <c r="N16" s="43"/>
    </row>
    <row r="17" spans="1:14" x14ac:dyDescent="0.2">
      <c r="A17" s="43"/>
      <c r="B17" s="43" t="s">
        <v>143</v>
      </c>
      <c r="C17" s="193">
        <v>7556</v>
      </c>
      <c r="D17" s="43"/>
      <c r="E17" s="43"/>
      <c r="G17" s="244" t="s">
        <v>246</v>
      </c>
      <c r="H17" s="43"/>
      <c r="I17" s="43"/>
      <c r="J17" s="43"/>
      <c r="K17" s="43"/>
      <c r="L17" s="43"/>
      <c r="M17" s="43"/>
      <c r="N17" s="43"/>
    </row>
    <row r="18" spans="1:14" x14ac:dyDescent="0.2">
      <c r="A18" s="43"/>
      <c r="B18" s="43" t="s">
        <v>144</v>
      </c>
      <c r="C18" s="193">
        <v>5903</v>
      </c>
      <c r="D18" s="193">
        <v>7333</v>
      </c>
      <c r="E18" s="43"/>
      <c r="G18" s="43"/>
      <c r="H18" s="43"/>
      <c r="I18" s="43"/>
      <c r="J18" s="43"/>
      <c r="K18" s="43"/>
      <c r="L18" s="43"/>
      <c r="M18" s="43"/>
      <c r="N18" s="43"/>
    </row>
    <row r="19" spans="1:14" x14ac:dyDescent="0.2">
      <c r="A19" s="43"/>
      <c r="B19" s="43" t="s">
        <v>145</v>
      </c>
      <c r="C19" s="193"/>
      <c r="D19" s="193"/>
      <c r="E19" s="43"/>
      <c r="G19" s="43"/>
      <c r="H19" s="43"/>
      <c r="I19" s="43"/>
      <c r="J19" s="43"/>
      <c r="K19" s="43"/>
      <c r="L19" s="43"/>
      <c r="M19" s="43"/>
      <c r="N19" s="43"/>
    </row>
    <row r="20" spans="1:14" x14ac:dyDescent="0.2">
      <c r="A20" s="43"/>
      <c r="B20" s="43" t="s">
        <v>146</v>
      </c>
      <c r="C20" s="194">
        <v>0.03</v>
      </c>
      <c r="D20" s="194">
        <v>0.03</v>
      </c>
      <c r="E20" s="243">
        <v>2302</v>
      </c>
      <c r="F20" s="243" t="s">
        <v>249</v>
      </c>
      <c r="G20" s="43"/>
      <c r="H20" s="243">
        <v>2076</v>
      </c>
      <c r="I20" s="243" t="s">
        <v>250</v>
      </c>
      <c r="J20" s="43"/>
      <c r="K20" s="43"/>
      <c r="L20" s="43"/>
      <c r="M20" s="43"/>
      <c r="N20" s="43"/>
    </row>
    <row r="21" spans="1:14" x14ac:dyDescent="0.2">
      <c r="A21" s="43"/>
      <c r="B21" s="43" t="s">
        <v>147</v>
      </c>
      <c r="C21" s="195">
        <v>8.6999999999999994E-2</v>
      </c>
      <c r="D21" s="194">
        <v>0.15</v>
      </c>
      <c r="E21" s="43"/>
      <c r="G21" s="43"/>
      <c r="H21" s="43"/>
      <c r="I21" s="43"/>
      <c r="J21" s="43"/>
      <c r="K21" s="43"/>
      <c r="L21" s="43"/>
      <c r="M21" s="43"/>
      <c r="N21" s="43"/>
    </row>
    <row r="22" spans="1:14" ht="16" thickBot="1" x14ac:dyDescent="0.25">
      <c r="A22" s="43"/>
      <c r="B22" s="43" t="s">
        <v>148</v>
      </c>
      <c r="C22" s="192"/>
      <c r="D22" s="196">
        <v>1195</v>
      </c>
      <c r="E22" s="43"/>
      <c r="G22" s="43"/>
      <c r="H22" s="43"/>
      <c r="I22" s="43"/>
      <c r="J22" s="43"/>
      <c r="K22" s="43"/>
      <c r="L22" s="43"/>
      <c r="M22" s="43"/>
      <c r="N22" s="43"/>
    </row>
    <row r="23" spans="1:14" s="238" customFormat="1" ht="17" thickTop="1" thickBot="1" x14ac:dyDescent="0.25">
      <c r="B23" s="238" t="s">
        <v>251</v>
      </c>
      <c r="C23" s="247"/>
      <c r="D23" s="196"/>
    </row>
    <row r="24" spans="1:14" ht="17" thickTop="1" thickBot="1" x14ac:dyDescent="0.25">
      <c r="A24" s="43"/>
      <c r="B24" s="197" t="s">
        <v>252</v>
      </c>
      <c r="C24" s="247"/>
      <c r="D24" s="43"/>
      <c r="E24" s="43"/>
      <c r="G24" s="43"/>
      <c r="H24" s="43"/>
      <c r="I24" s="43"/>
      <c r="J24" s="43"/>
      <c r="K24" s="43"/>
      <c r="L24" s="43"/>
      <c r="M24" s="43"/>
      <c r="N24" s="43"/>
    </row>
    <row r="25" spans="1:14" ht="16" thickTop="1" x14ac:dyDescent="0.2">
      <c r="A25" s="43"/>
      <c r="B25" s="242"/>
      <c r="C25" s="242"/>
      <c r="D25" s="242"/>
      <c r="E25" s="242"/>
      <c r="G25" s="43"/>
      <c r="H25" s="43"/>
      <c r="I25" s="43"/>
      <c r="J25" s="43"/>
      <c r="K25" s="43"/>
      <c r="L25" s="43"/>
      <c r="M25" s="43"/>
      <c r="N25" s="43"/>
    </row>
    <row r="26" spans="1:14" x14ac:dyDescent="0.2">
      <c r="A26" s="43"/>
      <c r="B26" s="242"/>
      <c r="C26" s="242"/>
      <c r="D26" s="242"/>
      <c r="E26" s="242"/>
      <c r="G26" s="43"/>
      <c r="H26" s="43"/>
      <c r="I26" s="43"/>
      <c r="J26" s="43"/>
      <c r="K26" s="43"/>
      <c r="L26" s="43"/>
      <c r="M26" s="43"/>
      <c r="N26" s="43"/>
    </row>
    <row r="27" spans="1:14" ht="16" thickBot="1" x14ac:dyDescent="0.25">
      <c r="A27" s="43"/>
      <c r="B27" s="242"/>
      <c r="C27" s="242"/>
      <c r="D27" s="242"/>
      <c r="E27" s="242"/>
      <c r="G27" s="43"/>
      <c r="H27" s="43" t="s">
        <v>261</v>
      </c>
      <c r="I27" s="43" t="s">
        <v>262</v>
      </c>
      <c r="J27" s="43"/>
      <c r="K27" s="43"/>
      <c r="L27" s="43"/>
      <c r="M27" s="43"/>
      <c r="N27" s="43"/>
    </row>
    <row r="28" spans="1:14" x14ac:dyDescent="0.2">
      <c r="A28" s="43"/>
      <c r="B28" s="242"/>
      <c r="C28" s="242"/>
      <c r="D28" s="242"/>
      <c r="E28" s="242"/>
      <c r="G28" s="183" t="s">
        <v>172</v>
      </c>
      <c r="H28" s="214" t="s">
        <v>168</v>
      </c>
      <c r="I28" s="215" t="s">
        <v>161</v>
      </c>
      <c r="J28" s="92" t="s">
        <v>169</v>
      </c>
      <c r="K28" s="43"/>
      <c r="L28" s="43"/>
      <c r="M28" s="43"/>
      <c r="N28" s="43"/>
    </row>
    <row r="29" spans="1:14" ht="16" thickBot="1" x14ac:dyDescent="0.25">
      <c r="A29" s="43"/>
      <c r="B29" s="242"/>
      <c r="C29" s="242"/>
      <c r="D29" s="242"/>
      <c r="E29" s="242"/>
      <c r="G29" s="137" t="s">
        <v>154</v>
      </c>
      <c r="H29" s="216">
        <f>C16</f>
        <v>9247</v>
      </c>
      <c r="I29" s="217">
        <f>C16</f>
        <v>9247</v>
      </c>
      <c r="J29" s="43"/>
      <c r="K29" s="43"/>
      <c r="L29" s="43"/>
      <c r="M29" s="43"/>
      <c r="N29" s="43"/>
    </row>
    <row r="30" spans="1:14" ht="17" thickTop="1" thickBot="1" x14ac:dyDescent="0.25">
      <c r="A30" s="43"/>
      <c r="B30" s="43"/>
      <c r="C30" s="43"/>
      <c r="D30" s="43"/>
      <c r="E30" s="43"/>
      <c r="G30" s="137" t="s">
        <v>165</v>
      </c>
      <c r="H30" s="218">
        <f>C8</f>
        <v>559.20409999999993</v>
      </c>
      <c r="I30" s="219">
        <f>D8</f>
        <v>559.20409999999993</v>
      </c>
      <c r="J30" s="43"/>
      <c r="K30" s="43"/>
      <c r="L30" s="43"/>
      <c r="M30" s="43"/>
      <c r="N30" s="43"/>
    </row>
    <row r="31" spans="1:14" ht="17" thickTop="1" thickBot="1" x14ac:dyDescent="0.25">
      <c r="A31" s="43"/>
      <c r="B31" s="191" t="s">
        <v>162</v>
      </c>
      <c r="D31" s="43"/>
      <c r="E31" s="43"/>
      <c r="G31" s="137" t="s">
        <v>166</v>
      </c>
      <c r="H31" s="216">
        <f>C13</f>
        <v>1524.9465</v>
      </c>
      <c r="I31" s="217">
        <f>D13</f>
        <v>1524.9465</v>
      </c>
      <c r="J31" s="43"/>
      <c r="K31" s="43"/>
      <c r="L31" s="43"/>
      <c r="M31" s="43"/>
      <c r="N31" s="43"/>
    </row>
    <row r="32" spans="1:14" ht="17" thickTop="1" thickBot="1" x14ac:dyDescent="0.25">
      <c r="A32" s="43"/>
      <c r="B32" s="43" t="s">
        <v>149</v>
      </c>
      <c r="C32" s="43" t="s">
        <v>150</v>
      </c>
      <c r="D32" s="43" t="s">
        <v>151</v>
      </c>
      <c r="E32" s="43" t="s">
        <v>179</v>
      </c>
      <c r="G32" s="137" t="s">
        <v>170</v>
      </c>
      <c r="H32" s="147"/>
      <c r="I32" s="221">
        <f>L35</f>
        <v>940</v>
      </c>
      <c r="J32" s="43"/>
      <c r="K32" s="295" t="s">
        <v>24</v>
      </c>
      <c r="L32" s="296"/>
      <c r="M32" s="43" t="s">
        <v>161</v>
      </c>
      <c r="N32" s="43"/>
    </row>
    <row r="33" spans="1:14" ht="17" thickTop="1" thickBot="1" x14ac:dyDescent="0.25">
      <c r="A33" s="43"/>
      <c r="B33" s="192">
        <v>0</v>
      </c>
      <c r="C33" s="192">
        <v>36925</v>
      </c>
      <c r="D33" s="195">
        <v>8.6999999999999994E-2</v>
      </c>
      <c r="E33" s="193"/>
      <c r="G33" s="137" t="s">
        <v>171</v>
      </c>
      <c r="I33" s="223">
        <f>'LW 2019 Income'!C12-('LW 2019 Income'!C40*C20)</f>
        <v>1047.3900000000003</v>
      </c>
      <c r="J33" s="43"/>
      <c r="K33" s="208" t="s">
        <v>20</v>
      </c>
      <c r="L33" s="209">
        <f>'Family Expenses'!B41*2</f>
        <v>460</v>
      </c>
      <c r="M33" s="43"/>
      <c r="N33" s="249" t="s">
        <v>258</v>
      </c>
    </row>
    <row r="34" spans="1:14" ht="17" thickTop="1" thickBot="1" x14ac:dyDescent="0.25">
      <c r="A34" s="43"/>
      <c r="B34" s="192">
        <v>36926</v>
      </c>
      <c r="C34" s="192">
        <v>73851</v>
      </c>
      <c r="D34" s="195">
        <v>0.14499999999999999</v>
      </c>
      <c r="E34" s="245">
        <v>3213</v>
      </c>
      <c r="G34" s="137" t="s">
        <v>256</v>
      </c>
      <c r="H34" s="198">
        <f>MIN('LW 2019 Income'!G38,'Family Expenses'!B53)</f>
        <v>13000</v>
      </c>
      <c r="I34" s="138"/>
      <c r="J34" s="43"/>
      <c r="K34" s="208" t="s">
        <v>27</v>
      </c>
      <c r="L34" s="209">
        <f>60*8</f>
        <v>480</v>
      </c>
      <c r="M34" s="43"/>
      <c r="N34" s="43"/>
    </row>
    <row r="35" spans="1:14" ht="17" thickTop="1" thickBot="1" x14ac:dyDescent="0.25">
      <c r="A35" s="43"/>
      <c r="B35" s="193">
        <v>73852</v>
      </c>
      <c r="C35" s="193">
        <v>131849</v>
      </c>
      <c r="D35" s="199">
        <v>0.158</v>
      </c>
      <c r="E35" s="246">
        <v>8567</v>
      </c>
      <c r="G35" s="224" t="s">
        <v>175</v>
      </c>
      <c r="H35" s="223">
        <f>'LW 2019 Income'!B40*$D$33</f>
        <v>1853.7089999999998</v>
      </c>
      <c r="I35" s="226">
        <f>('LW 2019 Income'!C40)*'table 4 calculations'!D33</f>
        <v>2984.7089999999998</v>
      </c>
      <c r="J35" s="43" t="s">
        <v>180</v>
      </c>
      <c r="K35" s="210" t="s">
        <v>14</v>
      </c>
      <c r="L35" s="211">
        <f>SUM(L33:L34)</f>
        <v>940</v>
      </c>
      <c r="M35" s="43" t="s">
        <v>257</v>
      </c>
      <c r="N35" s="43"/>
    </row>
    <row r="36" spans="1:14" x14ac:dyDescent="0.2">
      <c r="A36" s="43"/>
      <c r="B36" s="193">
        <v>131850</v>
      </c>
      <c r="C36" s="193">
        <v>184589</v>
      </c>
      <c r="D36" s="199">
        <v>0.17299999999999999</v>
      </c>
      <c r="E36" s="246">
        <v>17731</v>
      </c>
      <c r="G36" s="224" t="s">
        <v>176</v>
      </c>
      <c r="H36" s="223">
        <f>(H29+H30+H31+H32+H34)*$C$21</f>
        <v>2116.8101022000001</v>
      </c>
      <c r="I36" s="226">
        <f>(I29+I30+I31+I32+I34+I33)*$C$21</f>
        <v>1158.7130322</v>
      </c>
      <c r="J36" s="43"/>
      <c r="K36" s="43"/>
      <c r="L36" s="43"/>
      <c r="M36" s="43"/>
      <c r="N36" s="43"/>
    </row>
    <row r="37" spans="1:14" x14ac:dyDescent="0.2">
      <c r="A37" s="43"/>
      <c r="B37" s="193">
        <v>184590</v>
      </c>
      <c r="C37" s="193"/>
      <c r="D37" s="199">
        <v>0.183</v>
      </c>
      <c r="E37" s="246">
        <v>26855</v>
      </c>
      <c r="G37" s="224" t="s">
        <v>177</v>
      </c>
      <c r="H37" s="147"/>
      <c r="I37" s="138"/>
      <c r="J37" s="43"/>
      <c r="K37" s="43"/>
      <c r="L37" s="43"/>
      <c r="M37" s="43"/>
      <c r="N37" s="43"/>
    </row>
    <row r="38" spans="1:14" ht="16" thickBot="1" x14ac:dyDescent="0.25">
      <c r="A38" s="43"/>
      <c r="B38" s="43" t="s">
        <v>152</v>
      </c>
      <c r="C38" s="43"/>
      <c r="D38" s="43"/>
      <c r="E38" s="43"/>
      <c r="G38" s="227" t="s">
        <v>181</v>
      </c>
      <c r="H38" s="190">
        <f>MAX(H35-H36-H37,0)</f>
        <v>0</v>
      </c>
      <c r="I38" s="174">
        <f>I35-I36-I37</f>
        <v>1825.9959677999998</v>
      </c>
      <c r="J38" s="43"/>
      <c r="K38" s="43"/>
      <c r="L38" s="43"/>
      <c r="M38" s="43"/>
      <c r="N38" s="43"/>
    </row>
    <row r="39" spans="1:14" x14ac:dyDescent="0.2">
      <c r="A39" s="43"/>
      <c r="B39" s="191" t="s">
        <v>163</v>
      </c>
      <c r="C39" s="43"/>
      <c r="D39" s="43"/>
      <c r="E39" s="43"/>
      <c r="G39" s="183" t="s">
        <v>164</v>
      </c>
      <c r="H39" s="214" t="s">
        <v>168</v>
      </c>
      <c r="I39" s="215" t="s">
        <v>161</v>
      </c>
      <c r="J39" s="92" t="s">
        <v>169</v>
      </c>
      <c r="K39" s="43"/>
      <c r="L39" s="43"/>
      <c r="M39" s="43"/>
      <c r="N39" s="43"/>
    </row>
    <row r="40" spans="1:14" ht="16" thickBot="1" x14ac:dyDescent="0.25">
      <c r="A40" s="43"/>
      <c r="B40" s="43" t="s">
        <v>149</v>
      </c>
      <c r="C40" s="43" t="s">
        <v>150</v>
      </c>
      <c r="D40" s="43" t="s">
        <v>151</v>
      </c>
      <c r="E40" s="43"/>
      <c r="G40" s="137" t="s">
        <v>154</v>
      </c>
      <c r="H40" s="216">
        <f>D16</f>
        <v>11809</v>
      </c>
      <c r="I40" s="217">
        <f>D16</f>
        <v>11809</v>
      </c>
      <c r="J40" s="43"/>
      <c r="K40" s="43"/>
      <c r="L40" s="43"/>
      <c r="M40" s="43"/>
      <c r="N40" s="43"/>
    </row>
    <row r="41" spans="1:14" ht="17" thickTop="1" thickBot="1" x14ac:dyDescent="0.25">
      <c r="A41" s="43"/>
      <c r="B41" s="192">
        <v>0</v>
      </c>
      <c r="C41" s="192">
        <v>46605</v>
      </c>
      <c r="D41" s="195">
        <v>0.15</v>
      </c>
      <c r="E41" s="43"/>
      <c r="G41" s="137" t="s">
        <v>165</v>
      </c>
      <c r="H41" s="220">
        <f>C8</f>
        <v>559.20409999999993</v>
      </c>
      <c r="I41" s="221">
        <f>D8</f>
        <v>559.20409999999993</v>
      </c>
      <c r="J41" s="43"/>
      <c r="K41" s="43"/>
      <c r="L41" s="43"/>
      <c r="M41" s="43"/>
      <c r="N41" s="43"/>
    </row>
    <row r="42" spans="1:14" ht="17" thickTop="1" thickBot="1" x14ac:dyDescent="0.25">
      <c r="A42" s="43"/>
      <c r="B42" s="193">
        <v>46606</v>
      </c>
      <c r="C42" s="193">
        <v>93208</v>
      </c>
      <c r="D42" s="199">
        <v>0.20499999999999999</v>
      </c>
      <c r="E42" s="43"/>
      <c r="G42" s="137" t="s">
        <v>166</v>
      </c>
      <c r="H42" s="220">
        <f>C13</f>
        <v>1524.9465</v>
      </c>
      <c r="I42" s="221">
        <f>D13</f>
        <v>1524.9465</v>
      </c>
      <c r="J42" s="43"/>
      <c r="K42" s="43"/>
      <c r="L42" s="43"/>
      <c r="M42" s="43"/>
      <c r="N42" s="43"/>
    </row>
    <row r="43" spans="1:14" ht="17" thickTop="1" thickBot="1" x14ac:dyDescent="0.25">
      <c r="A43" s="43"/>
      <c r="B43" s="193">
        <v>93209</v>
      </c>
      <c r="C43" s="193">
        <v>144489</v>
      </c>
      <c r="D43" s="199">
        <v>0.26</v>
      </c>
      <c r="E43" s="43"/>
      <c r="G43" s="137" t="s">
        <v>167</v>
      </c>
      <c r="H43" s="220">
        <f>D22</f>
        <v>1195</v>
      </c>
      <c r="I43" s="221">
        <f>D22</f>
        <v>1195</v>
      </c>
      <c r="J43" s="43"/>
      <c r="K43" s="43"/>
      <c r="L43" s="43"/>
      <c r="M43" s="43"/>
      <c r="N43" s="43"/>
    </row>
    <row r="44" spans="1:14" ht="17" thickTop="1" thickBot="1" x14ac:dyDescent="0.25">
      <c r="A44" s="43"/>
      <c r="B44" s="193">
        <v>144490</v>
      </c>
      <c r="C44" s="193">
        <v>205842</v>
      </c>
      <c r="D44" s="199">
        <v>0.28999999999999998</v>
      </c>
      <c r="E44" s="43"/>
      <c r="G44" s="137" t="s">
        <v>170</v>
      </c>
      <c r="H44" s="147"/>
      <c r="I44" s="222">
        <f>L51</f>
        <v>460</v>
      </c>
      <c r="J44" s="43" t="s">
        <v>173</v>
      </c>
      <c r="K44" s="43"/>
      <c r="L44" s="43"/>
      <c r="M44" s="43"/>
      <c r="N44" s="43"/>
    </row>
    <row r="45" spans="1:14" ht="16" thickTop="1" x14ac:dyDescent="0.2">
      <c r="A45" s="43"/>
      <c r="B45" s="193">
        <v>205843</v>
      </c>
      <c r="C45" s="193"/>
      <c r="D45" s="199">
        <v>0.33</v>
      </c>
      <c r="E45" s="43"/>
      <c r="G45" s="137" t="s">
        <v>171</v>
      </c>
      <c r="I45" s="223">
        <f>'LW 2019 Income'!C12-'LW 2019 Income'!C40*D20</f>
        <v>1047.3900000000003</v>
      </c>
      <c r="J45" s="43"/>
      <c r="K45" s="43"/>
      <c r="L45" s="43"/>
      <c r="M45" s="43"/>
      <c r="N45" s="43"/>
    </row>
    <row r="46" spans="1:14" s="239" customFormat="1" x14ac:dyDescent="0.2">
      <c r="B46" s="193"/>
      <c r="C46" s="193"/>
      <c r="D46" s="199"/>
      <c r="G46" s="137"/>
      <c r="H46" s="240"/>
      <c r="I46" s="198"/>
    </row>
    <row r="47" spans="1:14" x14ac:dyDescent="0.2">
      <c r="A47" s="43"/>
      <c r="B47" s="43"/>
      <c r="C47" s="43"/>
      <c r="D47" s="43"/>
      <c r="E47" s="43"/>
      <c r="G47" s="137"/>
      <c r="H47" s="147"/>
      <c r="I47" s="138"/>
      <c r="J47" s="43"/>
      <c r="K47" s="297" t="s">
        <v>174</v>
      </c>
      <c r="L47" s="298"/>
      <c r="M47" s="43" t="s">
        <v>161</v>
      </c>
      <c r="N47" s="43"/>
    </row>
    <row r="48" spans="1:14" ht="16" thickBot="1" x14ac:dyDescent="0.25">
      <c r="A48" s="43"/>
      <c r="B48" s="191" t="s">
        <v>153</v>
      </c>
      <c r="C48" s="43"/>
      <c r="D48" s="43"/>
      <c r="E48" s="43"/>
      <c r="G48" s="224" t="s">
        <v>175</v>
      </c>
      <c r="H48" s="225">
        <f>'LW 2019 Income'!B40*$D$41</f>
        <v>3196.0499999999997</v>
      </c>
      <c r="I48" s="226">
        <f>'LW 2019 Income'!C40*$D$41</f>
        <v>5146.05</v>
      </c>
      <c r="J48" s="43"/>
      <c r="K48" s="11" t="s">
        <v>20</v>
      </c>
      <c r="L48" s="206">
        <f>'Family Expenses'!B41*2</f>
        <v>460</v>
      </c>
      <c r="M48" s="43"/>
      <c r="N48" s="43"/>
    </row>
    <row r="49" spans="1:14" ht="16" thickTop="1" x14ac:dyDescent="0.2">
      <c r="A49" s="43"/>
      <c r="B49" s="43" t="s">
        <v>154</v>
      </c>
      <c r="C49" s="192">
        <v>3000</v>
      </c>
      <c r="D49" s="43"/>
      <c r="E49" s="43"/>
      <c r="G49" s="224" t="s">
        <v>176</v>
      </c>
      <c r="H49" s="223">
        <f>(H40+H41+H42+H43+H44)*$D$21</f>
        <v>2263.2225899999999</v>
      </c>
      <c r="I49" s="226">
        <f>SUM(I40:I47)*$D$21</f>
        <v>2489.3310900000001</v>
      </c>
      <c r="J49" s="43"/>
      <c r="K49" s="11" t="s">
        <v>21</v>
      </c>
      <c r="L49" s="10">
        <v>0</v>
      </c>
      <c r="M49" s="244" t="s">
        <v>258</v>
      </c>
      <c r="N49" s="43"/>
    </row>
    <row r="50" spans="1:14" x14ac:dyDescent="0.2">
      <c r="A50" s="43"/>
      <c r="B50" s="43" t="s">
        <v>155</v>
      </c>
      <c r="C50" s="194">
        <v>0.25</v>
      </c>
      <c r="D50" s="43"/>
      <c r="E50" s="43"/>
      <c r="G50" s="224" t="s">
        <v>177</v>
      </c>
      <c r="H50" s="223">
        <f>C58</f>
        <v>0</v>
      </c>
      <c r="I50" s="226">
        <f>C55</f>
        <v>0</v>
      </c>
      <c r="J50" s="43"/>
      <c r="K50" s="11" t="s">
        <v>22</v>
      </c>
      <c r="L50" s="10">
        <v>0</v>
      </c>
      <c r="M50" s="43"/>
      <c r="N50" s="43"/>
    </row>
    <row r="51" spans="1:14" ht="16" thickBot="1" x14ac:dyDescent="0.25">
      <c r="A51" s="43"/>
      <c r="B51" s="43" t="s">
        <v>156</v>
      </c>
      <c r="C51" s="192">
        <v>1894</v>
      </c>
      <c r="D51" s="43"/>
      <c r="E51" s="43"/>
      <c r="G51" s="227" t="s">
        <v>178</v>
      </c>
      <c r="H51" s="228">
        <f>H48-H49-H50</f>
        <v>932.82740999999987</v>
      </c>
      <c r="I51" s="229">
        <f>I48-I49-I50</f>
        <v>2656.7189100000001</v>
      </c>
      <c r="J51" s="43"/>
      <c r="K51" s="30" t="s">
        <v>14</v>
      </c>
      <c r="L51" s="207">
        <f>SUM(L48:L50)</f>
        <v>460</v>
      </c>
      <c r="M51" s="43"/>
      <c r="N51" s="43"/>
    </row>
    <row r="52" spans="1:14" x14ac:dyDescent="0.2">
      <c r="A52" s="43"/>
      <c r="B52" s="43" t="s">
        <v>157</v>
      </c>
      <c r="C52" s="192">
        <v>28975</v>
      </c>
      <c r="D52" s="43"/>
      <c r="E52" s="43"/>
      <c r="G52" s="43"/>
      <c r="H52" s="43"/>
      <c r="I52" s="43"/>
      <c r="J52" s="43"/>
      <c r="K52" s="43"/>
      <c r="L52" s="43"/>
      <c r="M52" s="43"/>
      <c r="N52" s="43"/>
    </row>
    <row r="53" spans="1:14" x14ac:dyDescent="0.2">
      <c r="A53" s="43"/>
      <c r="B53" s="43" t="s">
        <v>158</v>
      </c>
      <c r="C53" s="192">
        <v>16348</v>
      </c>
      <c r="D53" s="43"/>
      <c r="E53" s="43"/>
      <c r="G53" s="43"/>
      <c r="H53" s="43"/>
      <c r="I53" s="43"/>
      <c r="J53" s="43"/>
      <c r="K53" s="43"/>
      <c r="L53" s="43"/>
      <c r="M53" s="43"/>
      <c r="N53" s="43"/>
    </row>
    <row r="54" spans="1:14" x14ac:dyDescent="0.2">
      <c r="A54" s="43"/>
      <c r="B54" s="43" t="s">
        <v>159</v>
      </c>
      <c r="C54" s="194">
        <v>0.15</v>
      </c>
      <c r="D54" s="43"/>
      <c r="E54" s="43"/>
      <c r="G54" s="43"/>
      <c r="H54" s="43"/>
      <c r="I54" s="43"/>
      <c r="J54" s="43"/>
      <c r="K54" s="43"/>
      <c r="L54" s="43"/>
      <c r="M54" s="43"/>
      <c r="N54" s="43"/>
    </row>
    <row r="55" spans="1:14" x14ac:dyDescent="0.2">
      <c r="A55" s="43"/>
      <c r="B55" s="43" t="s">
        <v>160</v>
      </c>
      <c r="C55" s="198">
        <v>0</v>
      </c>
      <c r="D55" s="43" t="s">
        <v>161</v>
      </c>
      <c r="E55" s="43" t="s">
        <v>185</v>
      </c>
      <c r="G55" s="43"/>
      <c r="H55" s="43"/>
      <c r="I55" s="43"/>
      <c r="J55" s="43"/>
      <c r="K55" s="43"/>
      <c r="L55" s="43"/>
      <c r="M55" s="43"/>
      <c r="N55" s="43"/>
    </row>
    <row r="56" spans="1:14" x14ac:dyDescent="0.2">
      <c r="A56" s="43"/>
      <c r="B56" s="43"/>
      <c r="C56" s="43"/>
      <c r="D56" s="43"/>
      <c r="E56" s="43"/>
      <c r="G56" s="43"/>
      <c r="H56" s="43"/>
      <c r="I56" s="43"/>
      <c r="J56" s="43"/>
      <c r="K56" s="43"/>
      <c r="L56" s="43"/>
      <c r="M56" s="43"/>
      <c r="N56" s="43"/>
    </row>
    <row r="57" spans="1:14" x14ac:dyDescent="0.2">
      <c r="A57" s="43"/>
      <c r="B57" s="200" t="s">
        <v>182</v>
      </c>
      <c r="C57" s="43"/>
      <c r="D57" s="43"/>
      <c r="E57" s="43"/>
      <c r="G57" s="43"/>
      <c r="H57" s="43"/>
      <c r="I57" s="43"/>
      <c r="J57" s="43"/>
      <c r="K57" s="43"/>
      <c r="L57" s="43"/>
      <c r="M57" s="43"/>
      <c r="N57" s="43"/>
    </row>
    <row r="58" spans="1:14" x14ac:dyDescent="0.2">
      <c r="A58" s="43"/>
      <c r="B58" s="213" t="s">
        <v>183</v>
      </c>
      <c r="C58" s="198">
        <v>0</v>
      </c>
      <c r="D58" s="43" t="s">
        <v>168</v>
      </c>
      <c r="E58" s="43" t="s">
        <v>185</v>
      </c>
      <c r="G58" s="43"/>
      <c r="H58" s="43"/>
      <c r="I58" s="43"/>
      <c r="J58" s="43"/>
      <c r="K58" s="43"/>
      <c r="L58" s="43"/>
      <c r="M58" s="43"/>
      <c r="N58" s="43"/>
    </row>
    <row r="59" spans="1:14" x14ac:dyDescent="0.2">
      <c r="A59" s="43"/>
      <c r="B59" s="43"/>
      <c r="C59" s="43"/>
      <c r="D59" s="43"/>
      <c r="E59" s="43"/>
      <c r="G59" s="43"/>
      <c r="H59" s="43"/>
      <c r="I59" s="43"/>
      <c r="J59" s="43"/>
      <c r="K59" s="43"/>
      <c r="L59" s="43"/>
      <c r="M59" s="43"/>
      <c r="N59" s="43"/>
    </row>
    <row r="60" spans="1:14" x14ac:dyDescent="0.2">
      <c r="A60" s="43"/>
      <c r="B60" s="43"/>
      <c r="C60" s="43"/>
      <c r="D60" s="43"/>
      <c r="E60" s="43"/>
      <c r="G60" s="43"/>
      <c r="H60" s="43"/>
      <c r="I60" s="43"/>
      <c r="J60" s="43"/>
      <c r="K60" s="43"/>
      <c r="L60" s="43"/>
      <c r="M60" s="43"/>
      <c r="N60" s="43"/>
    </row>
    <row r="61" spans="1:14" x14ac:dyDescent="0.2">
      <c r="A61" s="43"/>
      <c r="B61" s="43"/>
      <c r="C61" s="43"/>
      <c r="D61" s="43"/>
      <c r="E61" s="43"/>
      <c r="G61" s="43"/>
      <c r="H61" s="43"/>
      <c r="I61" s="43"/>
      <c r="J61" s="43"/>
      <c r="K61" s="43"/>
      <c r="L61" s="43"/>
      <c r="M61" s="43"/>
      <c r="N61" s="43"/>
    </row>
  </sheetData>
  <mergeCells count="2">
    <mergeCell ref="K32:L32"/>
    <mergeCell ref="K47:L47"/>
  </mergeCells>
  <pageMargins left="0.7" right="0.7" top="0.75" bottom="0.75" header="0.3" footer="0.3"/>
  <pageSetup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2"/>
  <sheetViews>
    <sheetView topLeftCell="A3" workbookViewId="0">
      <selection activeCell="A12" sqref="A12:XFD12"/>
    </sheetView>
  </sheetViews>
  <sheetFormatPr baseColWidth="10" defaultColWidth="8.83203125" defaultRowHeight="15" x14ac:dyDescent="0.2"/>
  <cols>
    <col min="1" max="1" width="26.83203125" customWidth="1"/>
    <col min="2" max="2" width="26.83203125" style="241" customWidth="1"/>
    <col min="3" max="3" width="27.5" customWidth="1"/>
    <col min="9" max="9" width="8.83203125" style="43"/>
    <col min="11" max="11" width="19.33203125" customWidth="1"/>
    <col min="12" max="12" width="12.6640625" customWidth="1"/>
    <col min="14" max="14" width="12.1640625" customWidth="1"/>
  </cols>
  <sheetData>
    <row r="1" spans="1:17" x14ac:dyDescent="0.2">
      <c r="A1" s="241" t="s">
        <v>188</v>
      </c>
      <c r="C1" s="241"/>
      <c r="D1" s="241"/>
      <c r="E1" s="241"/>
      <c r="F1" s="241"/>
      <c r="G1" s="241"/>
      <c r="H1" s="241"/>
      <c r="I1" s="241"/>
      <c r="L1" s="43"/>
      <c r="M1" s="43"/>
      <c r="N1" s="43"/>
    </row>
    <row r="2" spans="1:17" x14ac:dyDescent="0.2">
      <c r="A2" s="241" t="s">
        <v>88</v>
      </c>
      <c r="C2" s="241"/>
      <c r="D2" s="241"/>
      <c r="E2" s="241"/>
      <c r="F2" s="241"/>
      <c r="G2" s="241"/>
      <c r="H2" s="241"/>
      <c r="I2" s="241"/>
      <c r="L2" s="43"/>
      <c r="M2" s="43"/>
    </row>
    <row r="3" spans="1:17" x14ac:dyDescent="0.2">
      <c r="A3" s="241" t="s">
        <v>189</v>
      </c>
      <c r="C3" s="241"/>
      <c r="D3" s="241"/>
      <c r="E3" s="241"/>
      <c r="F3" s="241"/>
      <c r="G3" s="241"/>
      <c r="H3" s="241"/>
      <c r="I3" s="241"/>
      <c r="L3" s="43"/>
      <c r="M3" s="43"/>
      <c r="N3" s="43"/>
      <c r="O3" s="43"/>
    </row>
    <row r="4" spans="1:17" x14ac:dyDescent="0.2">
      <c r="A4" s="241" t="s">
        <v>190</v>
      </c>
      <c r="C4" s="241"/>
      <c r="D4" s="241"/>
      <c r="E4" s="241"/>
      <c r="F4" s="241"/>
      <c r="G4" s="241"/>
      <c r="H4" s="241"/>
      <c r="I4" s="241"/>
      <c r="L4" s="43"/>
      <c r="M4" s="43"/>
      <c r="N4" s="43"/>
      <c r="O4" s="43"/>
    </row>
    <row r="5" spans="1:17" x14ac:dyDescent="0.2">
      <c r="A5" s="241"/>
      <c r="C5" s="241"/>
      <c r="D5" s="241"/>
      <c r="E5" s="241"/>
      <c r="F5" s="241"/>
      <c r="G5" s="241"/>
      <c r="H5" s="241"/>
      <c r="I5" s="241"/>
      <c r="L5" s="43"/>
      <c r="M5" s="43"/>
      <c r="N5" s="43"/>
      <c r="O5" s="43"/>
    </row>
    <row r="6" spans="1:17" x14ac:dyDescent="0.2">
      <c r="A6" s="241"/>
      <c r="C6" s="250" t="s">
        <v>191</v>
      </c>
      <c r="D6" s="241"/>
      <c r="E6" s="241"/>
      <c r="I6" s="241" t="s">
        <v>192</v>
      </c>
      <c r="J6" s="241"/>
      <c r="K6" s="241"/>
      <c r="L6" s="241"/>
      <c r="M6" s="43"/>
      <c r="N6" s="43"/>
      <c r="O6" s="43"/>
    </row>
    <row r="7" spans="1:17" x14ac:dyDescent="0.2">
      <c r="A7" s="241" t="s">
        <v>193</v>
      </c>
      <c r="B7" s="241">
        <v>2011</v>
      </c>
      <c r="C7" s="250">
        <v>2015</v>
      </c>
      <c r="D7" s="250"/>
      <c r="E7" s="241">
        <v>2016</v>
      </c>
      <c r="F7" s="241">
        <v>2017</v>
      </c>
      <c r="G7" s="241">
        <v>2018</v>
      </c>
      <c r="H7" s="241">
        <v>2016</v>
      </c>
      <c r="I7" s="241">
        <v>2017</v>
      </c>
      <c r="J7" s="241">
        <v>2018</v>
      </c>
      <c r="K7" s="241"/>
      <c r="N7" s="43"/>
      <c r="O7" s="43"/>
      <c r="P7" s="43"/>
      <c r="Q7" s="43"/>
    </row>
    <row r="8" spans="1:17" x14ac:dyDescent="0.2">
      <c r="A8" s="241"/>
      <c r="C8" s="250" t="s">
        <v>194</v>
      </c>
      <c r="D8" s="250"/>
      <c r="E8" s="241" t="s">
        <v>194</v>
      </c>
      <c r="F8" s="241"/>
      <c r="G8" s="241"/>
      <c r="H8" s="241"/>
      <c r="I8" s="241"/>
      <c r="J8" s="241"/>
      <c r="K8" s="241"/>
      <c r="N8" s="43"/>
      <c r="O8" s="43"/>
      <c r="P8" s="43"/>
      <c r="Q8" s="43"/>
    </row>
    <row r="9" spans="1:17" x14ac:dyDescent="0.2">
      <c r="A9" s="241" t="s">
        <v>56</v>
      </c>
      <c r="C9" s="250">
        <v>129</v>
      </c>
      <c r="D9" s="250"/>
      <c r="E9" s="241">
        <v>132.5</v>
      </c>
      <c r="F9" s="241">
        <v>135.69999999999999</v>
      </c>
      <c r="G9" s="241">
        <v>137.9</v>
      </c>
      <c r="H9" s="241">
        <v>132.19999999999999</v>
      </c>
      <c r="I9" s="241">
        <v>135.30000000000001</v>
      </c>
      <c r="J9" s="241">
        <v>137.4</v>
      </c>
      <c r="K9" s="241"/>
      <c r="P9" s="43"/>
      <c r="Q9" s="43"/>
    </row>
    <row r="10" spans="1:17" s="43" customFormat="1" x14ac:dyDescent="0.2">
      <c r="A10" s="241" t="s">
        <v>195</v>
      </c>
      <c r="B10" s="241">
        <v>128.1</v>
      </c>
      <c r="C10" s="250">
        <v>142.9</v>
      </c>
      <c r="D10" s="250"/>
      <c r="E10" s="241">
        <v>146.4</v>
      </c>
      <c r="F10" s="241">
        <v>145</v>
      </c>
      <c r="G10" s="241">
        <v>145.5</v>
      </c>
      <c r="H10" s="241" t="s">
        <v>196</v>
      </c>
      <c r="I10" s="241" t="s">
        <v>196</v>
      </c>
      <c r="J10" s="241" t="s">
        <v>196</v>
      </c>
      <c r="K10" s="241"/>
      <c r="L10"/>
      <c r="M10"/>
      <c r="N10"/>
      <c r="O10"/>
    </row>
    <row r="11" spans="1:17" s="43" customFormat="1" x14ac:dyDescent="0.2">
      <c r="A11" s="241" t="s">
        <v>197</v>
      </c>
      <c r="B11" s="241"/>
      <c r="C11" s="250">
        <v>150.1</v>
      </c>
      <c r="D11" s="250"/>
      <c r="E11" s="241">
        <v>152.19999999999999</v>
      </c>
      <c r="F11" s="241">
        <v>155.69999999999999</v>
      </c>
      <c r="G11" s="241">
        <v>161</v>
      </c>
      <c r="H11" s="241">
        <v>149.5</v>
      </c>
      <c r="I11" s="241">
        <v>152.30000000000001</v>
      </c>
      <c r="J11" s="241">
        <v>156.30000000000001</v>
      </c>
      <c r="K11" s="241"/>
      <c r="L11"/>
      <c r="M11"/>
      <c r="N11"/>
      <c r="O11"/>
    </row>
    <row r="12" spans="1:17" x14ac:dyDescent="0.2">
      <c r="A12" s="241" t="s">
        <v>198</v>
      </c>
      <c r="C12" s="250">
        <v>96.5</v>
      </c>
      <c r="D12" s="250"/>
      <c r="E12" s="241">
        <v>95.2</v>
      </c>
      <c r="F12" s="241">
        <v>96.4</v>
      </c>
      <c r="G12" s="241">
        <v>97.4</v>
      </c>
      <c r="H12" s="241" t="s">
        <v>196</v>
      </c>
      <c r="I12" s="241" t="s">
        <v>196</v>
      </c>
      <c r="J12" s="241" t="s">
        <v>196</v>
      </c>
      <c r="K12" s="241"/>
      <c r="P12" s="43"/>
      <c r="Q12" s="43"/>
    </row>
    <row r="13" spans="1:17" s="43" customFormat="1" x14ac:dyDescent="0.2">
      <c r="A13" s="241" t="s">
        <v>7</v>
      </c>
      <c r="B13" s="241"/>
      <c r="C13" s="250">
        <v>124.1</v>
      </c>
      <c r="D13" s="250"/>
      <c r="E13" s="241">
        <v>129.5</v>
      </c>
      <c r="F13" s="241">
        <v>136.69999999999999</v>
      </c>
      <c r="G13" s="241">
        <v>141.30000000000001</v>
      </c>
      <c r="H13" s="241" t="s">
        <v>196</v>
      </c>
      <c r="I13" s="241" t="s">
        <v>196</v>
      </c>
      <c r="J13" s="241" t="s">
        <v>196</v>
      </c>
      <c r="K13" s="241"/>
      <c r="L13"/>
      <c r="M13"/>
      <c r="N13"/>
      <c r="O13"/>
    </row>
    <row r="14" spans="1:17" x14ac:dyDescent="0.2">
      <c r="A14" s="241" t="s">
        <v>57</v>
      </c>
      <c r="D14" s="250"/>
      <c r="E14" s="241">
        <v>128.9</v>
      </c>
      <c r="F14" s="241">
        <v>135.9</v>
      </c>
      <c r="G14" s="241">
        <v>139.30000000000001</v>
      </c>
      <c r="H14" s="241" t="s">
        <v>196</v>
      </c>
      <c r="I14" s="241" t="s">
        <v>196</v>
      </c>
      <c r="J14" s="241" t="s">
        <v>196</v>
      </c>
      <c r="K14" s="241"/>
      <c r="P14" s="43"/>
      <c r="Q14" s="43"/>
    </row>
    <row r="15" spans="1:17" x14ac:dyDescent="0.2">
      <c r="A15" s="241" t="s">
        <v>58</v>
      </c>
      <c r="C15" s="250"/>
      <c r="D15" s="250"/>
      <c r="E15" s="241">
        <v>101.9</v>
      </c>
      <c r="F15" s="241">
        <v>104.5</v>
      </c>
      <c r="G15" s="241">
        <v>105.8</v>
      </c>
      <c r="H15" s="241" t="s">
        <v>196</v>
      </c>
      <c r="I15" s="241" t="s">
        <v>196</v>
      </c>
      <c r="J15" s="241" t="s">
        <v>196</v>
      </c>
      <c r="K15" s="241"/>
      <c r="P15" s="43"/>
      <c r="Q15" s="43"/>
    </row>
    <row r="16" spans="1:17" x14ac:dyDescent="0.2">
      <c r="A16" s="241" t="s">
        <v>59</v>
      </c>
      <c r="C16" s="250"/>
      <c r="D16" s="250"/>
      <c r="E16" s="241">
        <v>150.1</v>
      </c>
      <c r="F16" s="241">
        <v>162.1</v>
      </c>
      <c r="G16" s="241">
        <v>167.6</v>
      </c>
      <c r="H16" s="241" t="s">
        <v>196</v>
      </c>
      <c r="I16" s="241" t="s">
        <v>196</v>
      </c>
      <c r="J16" s="241" t="s">
        <v>196</v>
      </c>
      <c r="K16" s="241"/>
      <c r="P16" s="43"/>
      <c r="Q16" s="43"/>
    </row>
    <row r="17" spans="1:17" x14ac:dyDescent="0.2">
      <c r="A17" s="241" t="s">
        <v>199</v>
      </c>
      <c r="C17" s="250"/>
      <c r="D17" s="250"/>
      <c r="E17" s="241">
        <v>56.9</v>
      </c>
      <c r="F17" s="241">
        <v>55.3</v>
      </c>
      <c r="G17" s="241">
        <v>52.8</v>
      </c>
      <c r="H17" s="241" t="s">
        <v>196</v>
      </c>
      <c r="I17" s="241" t="s">
        <v>196</v>
      </c>
      <c r="J17" s="241" t="s">
        <v>196</v>
      </c>
      <c r="K17" s="241"/>
      <c r="P17" s="43"/>
      <c r="Q17" s="43"/>
    </row>
    <row r="18" spans="1:17" x14ac:dyDescent="0.2">
      <c r="A18" s="241" t="s">
        <v>200</v>
      </c>
      <c r="C18" s="250"/>
      <c r="D18" s="250"/>
      <c r="E18" s="241">
        <v>155.4</v>
      </c>
      <c r="F18" s="241">
        <v>159.1</v>
      </c>
      <c r="G18" s="241">
        <v>161.80000000000001</v>
      </c>
      <c r="H18" s="241">
        <v>155.1</v>
      </c>
      <c r="I18" s="241">
        <v>158.80000000000001</v>
      </c>
      <c r="J18" s="241">
        <v>161.19999999999999</v>
      </c>
      <c r="K18" s="241"/>
      <c r="P18" s="43"/>
      <c r="Q18" s="43"/>
    </row>
    <row r="19" spans="1:17" x14ac:dyDescent="0.2">
      <c r="A19" s="241"/>
      <c r="C19" s="250"/>
      <c r="D19" s="250"/>
      <c r="E19" s="241"/>
      <c r="F19" s="241"/>
      <c r="G19" s="241"/>
      <c r="H19" s="241"/>
      <c r="I19" s="241"/>
      <c r="J19" s="241"/>
      <c r="K19" s="241"/>
      <c r="P19" s="43"/>
      <c r="Q19" s="43"/>
    </row>
    <row r="20" spans="1:17" x14ac:dyDescent="0.2">
      <c r="A20" s="241" t="s">
        <v>201</v>
      </c>
      <c r="C20" s="250"/>
      <c r="D20" s="250"/>
      <c r="E20" s="241"/>
      <c r="F20" s="241"/>
      <c r="G20" s="241"/>
      <c r="H20" s="241"/>
      <c r="I20" s="241"/>
      <c r="J20" s="241"/>
      <c r="K20" s="241"/>
      <c r="P20" s="43"/>
      <c r="Q20" s="43"/>
    </row>
    <row r="21" spans="1:17" x14ac:dyDescent="0.2">
      <c r="A21" s="241" t="s">
        <v>202</v>
      </c>
      <c r="C21" s="250"/>
      <c r="D21" s="250"/>
      <c r="E21" s="241"/>
      <c r="F21" s="241"/>
      <c r="G21" s="241"/>
      <c r="H21" s="241"/>
      <c r="I21" s="241"/>
      <c r="J21" s="241"/>
      <c r="K21" s="241"/>
      <c r="P21" s="43"/>
      <c r="Q21" s="43"/>
    </row>
    <row r="22" spans="1:17" x14ac:dyDescent="0.2">
      <c r="A22" s="241"/>
      <c r="C22" s="250"/>
      <c r="D22" s="250"/>
      <c r="E22" s="241"/>
      <c r="F22" s="241"/>
      <c r="G22" s="241"/>
      <c r="H22" s="241"/>
      <c r="I22" s="241"/>
      <c r="J22" s="241"/>
      <c r="K22" s="241"/>
      <c r="P22" s="43"/>
      <c r="Q22" s="43"/>
    </row>
    <row r="23" spans="1:17" x14ac:dyDescent="0.2">
      <c r="A23" s="241" t="s">
        <v>54</v>
      </c>
      <c r="C23" s="250"/>
      <c r="D23" s="250"/>
      <c r="E23" s="241"/>
      <c r="F23" s="241"/>
      <c r="G23" s="241"/>
      <c r="H23" s="241"/>
      <c r="I23" s="241"/>
      <c r="J23" s="241"/>
      <c r="K23" s="241"/>
      <c r="P23" s="43"/>
      <c r="Q23" s="43"/>
    </row>
    <row r="24" spans="1:17" x14ac:dyDescent="0.2">
      <c r="A24" s="241">
        <v>1</v>
      </c>
      <c r="D24" s="250"/>
      <c r="E24" s="241" t="s">
        <v>55</v>
      </c>
      <c r="F24" s="241"/>
      <c r="G24" s="241"/>
      <c r="H24" s="241"/>
      <c r="I24" s="241"/>
      <c r="J24" s="241"/>
      <c r="K24" s="241"/>
      <c r="P24" s="43"/>
      <c r="Q24" s="43"/>
    </row>
    <row r="25" spans="1:17" x14ac:dyDescent="0.2">
      <c r="A25" s="241">
        <v>2</v>
      </c>
      <c r="C25" s="241" t="s">
        <v>203</v>
      </c>
      <c r="D25" s="241"/>
      <c r="E25" s="241"/>
      <c r="F25" s="241"/>
      <c r="G25" s="241"/>
      <c r="H25" s="241"/>
      <c r="I25" s="241"/>
      <c r="N25" s="43"/>
      <c r="O25" s="43"/>
    </row>
    <row r="26" spans="1:17" x14ac:dyDescent="0.2">
      <c r="A26" s="241">
        <v>3</v>
      </c>
      <c r="C26" s="241" t="s">
        <v>61</v>
      </c>
      <c r="D26" s="241"/>
      <c r="E26" s="241"/>
      <c r="F26" s="241"/>
      <c r="G26" s="241"/>
      <c r="H26" s="241"/>
      <c r="I26" s="241"/>
      <c r="N26" s="43"/>
      <c r="O26" s="43"/>
    </row>
    <row r="27" spans="1:17" x14ac:dyDescent="0.2">
      <c r="A27" s="241">
        <v>4</v>
      </c>
      <c r="C27" s="241" t="s">
        <v>60</v>
      </c>
      <c r="D27" s="241"/>
      <c r="E27" s="241"/>
      <c r="F27" s="241"/>
      <c r="G27" s="241"/>
      <c r="H27" s="241"/>
      <c r="I27" s="241"/>
      <c r="N27" s="43"/>
      <c r="O27" s="43"/>
    </row>
    <row r="28" spans="1:17" x14ac:dyDescent="0.2">
      <c r="A28" s="241">
        <v>5</v>
      </c>
      <c r="C28" s="241" t="s">
        <v>204</v>
      </c>
      <c r="D28" s="241"/>
      <c r="E28" s="241"/>
      <c r="F28" s="241"/>
      <c r="G28" s="241"/>
      <c r="H28" s="241"/>
      <c r="I28" s="241"/>
      <c r="N28" s="43"/>
      <c r="O28" s="43"/>
    </row>
    <row r="29" spans="1:17" x14ac:dyDescent="0.2">
      <c r="A29" s="241">
        <v>6</v>
      </c>
      <c r="C29" s="241" t="s">
        <v>205</v>
      </c>
      <c r="D29" s="241"/>
      <c r="E29" s="241"/>
      <c r="F29" s="241"/>
      <c r="G29" s="241"/>
      <c r="H29" s="241"/>
      <c r="I29" s="241"/>
      <c r="N29" s="43"/>
      <c r="O29" s="43"/>
    </row>
    <row r="30" spans="1:17" x14ac:dyDescent="0.2">
      <c r="A30" s="241">
        <v>7</v>
      </c>
      <c r="C30" s="241" t="s">
        <v>206</v>
      </c>
      <c r="D30" s="241"/>
      <c r="E30" s="241"/>
      <c r="F30" s="241"/>
      <c r="G30" s="241"/>
      <c r="H30" s="241"/>
      <c r="I30" s="241"/>
      <c r="N30" s="43"/>
      <c r="O30" s="43"/>
    </row>
    <row r="31" spans="1:17" x14ac:dyDescent="0.2">
      <c r="A31" s="241">
        <v>8</v>
      </c>
      <c r="C31" s="241" t="s">
        <v>207</v>
      </c>
      <c r="D31" s="241"/>
      <c r="E31" s="241"/>
      <c r="F31" s="241"/>
      <c r="G31" s="241"/>
      <c r="H31" s="241"/>
      <c r="I31" s="241"/>
    </row>
    <row r="32" spans="1:17" x14ac:dyDescent="0.2">
      <c r="A32" s="241">
        <v>9</v>
      </c>
      <c r="C32" s="241" t="s">
        <v>208</v>
      </c>
      <c r="D32" s="241"/>
      <c r="E32" s="241"/>
      <c r="F32" s="241"/>
      <c r="G32" s="241"/>
      <c r="H32" s="241"/>
      <c r="I32" s="241"/>
    </row>
    <row r="33" spans="1:9" x14ac:dyDescent="0.2">
      <c r="A33" s="241">
        <v>10</v>
      </c>
      <c r="C33" s="241" t="s">
        <v>209</v>
      </c>
      <c r="D33" s="241"/>
      <c r="E33" s="241"/>
      <c r="F33" s="241"/>
      <c r="G33" s="241"/>
      <c r="H33" s="241"/>
      <c r="I33" s="241"/>
    </row>
    <row r="34" spans="1:9" x14ac:dyDescent="0.2">
      <c r="A34" s="241">
        <v>11</v>
      </c>
      <c r="C34" s="241" t="s">
        <v>210</v>
      </c>
      <c r="D34" s="241"/>
      <c r="E34" s="241"/>
      <c r="F34" s="241"/>
      <c r="G34" s="241"/>
      <c r="H34" s="241"/>
      <c r="I34" s="241"/>
    </row>
    <row r="35" spans="1:9" x14ac:dyDescent="0.2">
      <c r="A35" s="241">
        <v>12</v>
      </c>
      <c r="C35" s="241" t="s">
        <v>211</v>
      </c>
      <c r="D35" s="241"/>
      <c r="E35" s="241"/>
      <c r="F35" s="241"/>
      <c r="G35" s="241"/>
      <c r="H35" s="241"/>
      <c r="I35" s="241"/>
    </row>
    <row r="36" spans="1:9" x14ac:dyDescent="0.2">
      <c r="A36" s="241">
        <v>13</v>
      </c>
      <c r="C36" s="241" t="s">
        <v>212</v>
      </c>
      <c r="D36" s="241"/>
      <c r="E36" s="241"/>
      <c r="F36" s="241"/>
      <c r="G36" s="241"/>
      <c r="H36" s="241"/>
      <c r="I36" s="241"/>
    </row>
    <row r="37" spans="1:9" x14ac:dyDescent="0.2">
      <c r="A37" s="241">
        <v>14</v>
      </c>
      <c r="C37" s="241" t="s">
        <v>213</v>
      </c>
      <c r="D37" s="241"/>
      <c r="E37" s="241"/>
      <c r="F37" s="241"/>
      <c r="G37" s="241"/>
      <c r="H37" s="241"/>
      <c r="I37" s="241"/>
    </row>
    <row r="38" spans="1:9" x14ac:dyDescent="0.2">
      <c r="A38" s="241">
        <v>15</v>
      </c>
      <c r="C38" s="241" t="s">
        <v>214</v>
      </c>
      <c r="D38" s="241"/>
      <c r="E38" s="241"/>
      <c r="F38" s="241"/>
      <c r="G38" s="241"/>
      <c r="H38" s="241"/>
      <c r="I38" s="241"/>
    </row>
    <row r="39" spans="1:9" x14ac:dyDescent="0.2">
      <c r="A39" s="241">
        <v>16</v>
      </c>
      <c r="C39" s="241" t="s">
        <v>215</v>
      </c>
      <c r="D39" s="241"/>
      <c r="E39" s="241"/>
      <c r="F39" s="241"/>
      <c r="G39" s="241"/>
      <c r="H39" s="241"/>
      <c r="I39" s="241"/>
    </row>
    <row r="40" spans="1:9" x14ac:dyDescent="0.2">
      <c r="A40" s="241"/>
      <c r="C40" s="241"/>
      <c r="D40" s="241"/>
      <c r="E40" s="241"/>
      <c r="F40" s="241"/>
      <c r="G40" s="241"/>
      <c r="H40" s="241"/>
      <c r="I40" s="241"/>
    </row>
    <row r="41" spans="1:9" x14ac:dyDescent="0.2">
      <c r="A41" s="241" t="s">
        <v>216</v>
      </c>
      <c r="C41" s="241"/>
      <c r="D41" s="241"/>
      <c r="E41" s="241"/>
      <c r="F41" s="241"/>
      <c r="G41" s="241"/>
      <c r="H41" s="241"/>
      <c r="I41" s="241"/>
    </row>
    <row r="42" spans="1:9" x14ac:dyDescent="0.2">
      <c r="A42" s="241" t="s">
        <v>217</v>
      </c>
      <c r="C42" s="241"/>
      <c r="D42" s="241"/>
      <c r="E42" s="241"/>
      <c r="F42" s="241"/>
      <c r="G42" s="241"/>
      <c r="H42" s="241"/>
      <c r="I42" s="241"/>
    </row>
    <row r="43" spans="1:9" x14ac:dyDescent="0.2">
      <c r="A43" s="241"/>
      <c r="C43" s="241"/>
      <c r="D43" s="241"/>
      <c r="E43" s="241"/>
      <c r="F43" s="241"/>
      <c r="G43" s="241"/>
      <c r="H43" s="241"/>
      <c r="I43" s="241"/>
    </row>
    <row r="44" spans="1:9" x14ac:dyDescent="0.2">
      <c r="A44" s="241"/>
      <c r="C44" s="241"/>
      <c r="D44" s="241"/>
      <c r="E44" s="241"/>
      <c r="F44" s="241"/>
      <c r="G44" s="241"/>
      <c r="H44" s="241"/>
      <c r="I44" s="241"/>
    </row>
    <row r="45" spans="1:9" x14ac:dyDescent="0.2">
      <c r="A45" s="241"/>
      <c r="C45" s="241"/>
      <c r="D45" s="241"/>
      <c r="E45" s="241"/>
      <c r="F45" s="241"/>
      <c r="G45" s="241"/>
      <c r="H45" s="241"/>
      <c r="I45" s="241"/>
    </row>
    <row r="46" spans="1:9" x14ac:dyDescent="0.2">
      <c r="A46" s="241"/>
      <c r="C46" s="241"/>
      <c r="D46" s="241"/>
      <c r="E46" s="241"/>
      <c r="F46" s="241"/>
      <c r="G46" s="241"/>
      <c r="H46" s="241"/>
      <c r="I46" s="241"/>
    </row>
    <row r="47" spans="1:9" x14ac:dyDescent="0.2">
      <c r="A47" s="241"/>
      <c r="C47" s="241"/>
      <c r="D47" s="241"/>
      <c r="E47" s="241"/>
      <c r="F47" s="241"/>
      <c r="G47" s="241"/>
      <c r="H47" s="241"/>
      <c r="I47" s="241"/>
    </row>
    <row r="48" spans="1:9" x14ac:dyDescent="0.2">
      <c r="A48" s="241"/>
      <c r="C48" s="241"/>
      <c r="D48" s="241"/>
      <c r="E48" s="241"/>
      <c r="F48" s="241"/>
      <c r="G48" s="241"/>
      <c r="H48" s="241"/>
      <c r="I48" s="241"/>
    </row>
    <row r="49" spans="1:9" x14ac:dyDescent="0.2">
      <c r="A49" s="241"/>
      <c r="C49" s="241"/>
      <c r="D49" s="241"/>
      <c r="E49" s="241"/>
      <c r="F49" s="241"/>
      <c r="G49" s="241"/>
      <c r="H49" s="241"/>
      <c r="I49" s="241"/>
    </row>
    <row r="50" spans="1:9" x14ac:dyDescent="0.2">
      <c r="A50" s="241"/>
      <c r="C50" s="241"/>
      <c r="D50" s="241"/>
      <c r="E50" s="241"/>
      <c r="F50" s="241"/>
      <c r="G50" s="241"/>
      <c r="H50" s="241"/>
      <c r="I50" s="241"/>
    </row>
    <row r="51" spans="1:9" x14ac:dyDescent="0.2">
      <c r="A51" s="241"/>
      <c r="C51" s="241"/>
      <c r="D51" s="241"/>
      <c r="E51" s="241"/>
      <c r="F51" s="241"/>
      <c r="G51" s="241"/>
      <c r="H51" s="241"/>
      <c r="I51" s="241"/>
    </row>
    <row r="52" spans="1:9" x14ac:dyDescent="0.2">
      <c r="A52" s="241"/>
      <c r="C52" s="241"/>
      <c r="D52" s="241"/>
      <c r="E52" s="241"/>
      <c r="F52" s="241"/>
      <c r="G52" s="241"/>
      <c r="H52" s="241"/>
      <c r="I52" s="241"/>
    </row>
    <row r="53" spans="1:9" x14ac:dyDescent="0.2">
      <c r="A53" s="241"/>
      <c r="C53" s="241"/>
      <c r="D53" s="241"/>
      <c r="E53" s="241"/>
      <c r="F53" s="241"/>
      <c r="G53" s="241"/>
      <c r="H53" s="241"/>
      <c r="I53" s="241"/>
    </row>
    <row r="54" spans="1:9" x14ac:dyDescent="0.2">
      <c r="A54" s="241"/>
      <c r="C54" s="241"/>
      <c r="D54" s="241"/>
      <c r="E54" s="241"/>
      <c r="F54" s="241"/>
      <c r="G54" s="241"/>
      <c r="H54" s="241"/>
      <c r="I54" s="241"/>
    </row>
    <row r="55" spans="1:9" x14ac:dyDescent="0.2">
      <c r="A55" s="241"/>
      <c r="C55" s="241"/>
      <c r="D55" s="241"/>
      <c r="E55" s="241"/>
      <c r="F55" s="241"/>
      <c r="G55" s="241"/>
      <c r="H55" s="241"/>
      <c r="I55" s="241"/>
    </row>
    <row r="56" spans="1:9" x14ac:dyDescent="0.2">
      <c r="A56" s="241"/>
      <c r="C56" s="241"/>
      <c r="D56" s="241"/>
      <c r="E56" s="241"/>
      <c r="F56" s="241"/>
      <c r="G56" s="241"/>
      <c r="H56" s="241"/>
      <c r="I56" s="241"/>
    </row>
    <row r="57" spans="1:9" x14ac:dyDescent="0.2">
      <c r="A57" s="241"/>
      <c r="C57" s="241"/>
      <c r="D57" s="241"/>
      <c r="E57" s="241"/>
      <c r="F57" s="241"/>
      <c r="G57" s="241"/>
      <c r="H57" s="241"/>
      <c r="I57" s="241"/>
    </row>
    <row r="58" spans="1:9" x14ac:dyDescent="0.2">
      <c r="A58" s="241"/>
      <c r="C58" s="241"/>
      <c r="D58" s="241"/>
      <c r="E58" s="241"/>
      <c r="F58" s="241"/>
      <c r="G58" s="241"/>
      <c r="H58" s="241"/>
      <c r="I58" s="241"/>
    </row>
    <row r="59" spans="1:9" x14ac:dyDescent="0.2">
      <c r="A59" s="241"/>
      <c r="C59" s="241"/>
      <c r="D59" s="241"/>
      <c r="E59" s="241"/>
      <c r="F59" s="241"/>
      <c r="G59" s="241"/>
      <c r="H59" s="241"/>
      <c r="I59" s="241"/>
    </row>
    <row r="60" spans="1:9" x14ac:dyDescent="0.2">
      <c r="A60" s="241"/>
      <c r="C60" s="241"/>
      <c r="D60" s="241"/>
      <c r="E60" s="241"/>
      <c r="F60" s="241"/>
      <c r="G60" s="241"/>
      <c r="H60" s="241"/>
      <c r="I60" s="241"/>
    </row>
    <row r="61" spans="1:9" x14ac:dyDescent="0.2">
      <c r="A61" s="241"/>
      <c r="C61" s="241"/>
      <c r="D61" s="241"/>
      <c r="E61" s="241"/>
      <c r="F61" s="241"/>
      <c r="G61" s="241"/>
      <c r="H61" s="241"/>
      <c r="I61" s="241"/>
    </row>
    <row r="62" spans="1:9" x14ac:dyDescent="0.2">
      <c r="A62" s="241"/>
      <c r="C62" s="241"/>
      <c r="D62" s="241"/>
      <c r="E62" s="241"/>
      <c r="F62" s="241"/>
      <c r="G62" s="241"/>
      <c r="H62" s="241"/>
      <c r="I62" s="241"/>
    </row>
    <row r="63" spans="1:9" x14ac:dyDescent="0.2">
      <c r="A63" s="241"/>
      <c r="C63" s="241"/>
      <c r="D63" s="241"/>
      <c r="E63" s="241"/>
      <c r="F63" s="241"/>
      <c r="G63" s="241"/>
      <c r="H63" s="241"/>
      <c r="I63" s="241"/>
    </row>
    <row r="64" spans="1:9" x14ac:dyDescent="0.2">
      <c r="A64" s="241"/>
      <c r="C64" s="241"/>
      <c r="D64" s="241"/>
      <c r="E64" s="241"/>
      <c r="F64" s="241"/>
      <c r="G64" s="241"/>
      <c r="H64" s="241"/>
      <c r="I64" s="241"/>
    </row>
    <row r="65" spans="1:9" x14ac:dyDescent="0.2">
      <c r="A65" s="241"/>
      <c r="C65" s="241"/>
      <c r="D65" s="241"/>
      <c r="E65" s="241"/>
      <c r="F65" s="241"/>
      <c r="G65" s="241"/>
      <c r="H65" s="241"/>
      <c r="I65" s="241"/>
    </row>
    <row r="66" spans="1:9" x14ac:dyDescent="0.2">
      <c r="A66" s="241"/>
      <c r="C66" s="241"/>
      <c r="D66" s="241"/>
      <c r="E66" s="241"/>
      <c r="F66" s="241"/>
      <c r="G66" s="241"/>
      <c r="H66" s="241"/>
      <c r="I66" s="241"/>
    </row>
    <row r="67" spans="1:9" x14ac:dyDescent="0.2">
      <c r="A67" s="241"/>
      <c r="C67" s="241"/>
      <c r="D67" s="241"/>
      <c r="E67" s="241"/>
      <c r="F67" s="241"/>
      <c r="G67" s="241"/>
      <c r="H67" s="241"/>
      <c r="I67" s="241"/>
    </row>
    <row r="68" spans="1:9" x14ac:dyDescent="0.2">
      <c r="A68" s="241"/>
      <c r="C68" s="241"/>
      <c r="D68" s="241"/>
      <c r="E68" s="241"/>
      <c r="F68" s="241"/>
      <c r="G68" s="241"/>
      <c r="H68" s="241"/>
      <c r="I68" s="241"/>
    </row>
    <row r="69" spans="1:9" x14ac:dyDescent="0.2">
      <c r="A69" s="241"/>
      <c r="C69" s="241"/>
      <c r="D69" s="241"/>
      <c r="E69" s="241"/>
      <c r="F69" s="241"/>
      <c r="G69" s="241"/>
      <c r="H69" s="241"/>
      <c r="I69" s="241"/>
    </row>
    <row r="70" spans="1:9" x14ac:dyDescent="0.2">
      <c r="A70" s="241"/>
      <c r="C70" s="241"/>
      <c r="D70" s="241"/>
      <c r="E70" s="241"/>
      <c r="F70" s="241"/>
      <c r="G70" s="241"/>
      <c r="H70" s="241"/>
      <c r="I70" s="241"/>
    </row>
    <row r="71" spans="1:9" x14ac:dyDescent="0.2">
      <c r="A71" s="241"/>
      <c r="C71" s="241"/>
      <c r="D71" s="241"/>
      <c r="E71" s="241"/>
      <c r="F71" s="241"/>
      <c r="G71" s="241"/>
      <c r="H71" s="241"/>
      <c r="I71" s="241"/>
    </row>
    <row r="72" spans="1:9" x14ac:dyDescent="0.2">
      <c r="A72" s="241"/>
      <c r="C72" s="241"/>
      <c r="D72" s="241"/>
      <c r="E72" s="241"/>
      <c r="F72" s="241"/>
      <c r="G72" s="241"/>
      <c r="H72" s="241"/>
      <c r="I72" s="241"/>
    </row>
    <row r="73" spans="1:9" x14ac:dyDescent="0.2">
      <c r="A73" s="241"/>
      <c r="C73" s="241"/>
      <c r="D73" s="241"/>
      <c r="E73" s="241"/>
      <c r="F73" s="241"/>
      <c r="G73" s="241"/>
      <c r="H73" s="241"/>
      <c r="I73" s="241"/>
    </row>
    <row r="74" spans="1:9" x14ac:dyDescent="0.2">
      <c r="A74" s="241"/>
      <c r="C74" s="241"/>
      <c r="D74" s="241"/>
      <c r="E74" s="241"/>
      <c r="F74" s="241"/>
      <c r="G74" s="241"/>
      <c r="H74" s="241"/>
      <c r="I74" s="241"/>
    </row>
    <row r="75" spans="1:9" x14ac:dyDescent="0.2">
      <c r="A75" s="241"/>
      <c r="C75" s="241"/>
      <c r="D75" s="241"/>
      <c r="E75" s="241"/>
      <c r="F75" s="241"/>
      <c r="G75" s="241"/>
      <c r="H75" s="241"/>
      <c r="I75" s="241"/>
    </row>
    <row r="76" spans="1:9" x14ac:dyDescent="0.2">
      <c r="A76" s="241"/>
      <c r="C76" s="241"/>
      <c r="D76" s="241"/>
      <c r="E76" s="241"/>
      <c r="F76" s="241"/>
      <c r="G76" s="241"/>
      <c r="H76" s="241"/>
      <c r="I76" s="241"/>
    </row>
    <row r="77" spans="1:9" x14ac:dyDescent="0.2">
      <c r="A77" s="241"/>
      <c r="C77" s="241"/>
      <c r="D77" s="241"/>
      <c r="E77" s="241"/>
      <c r="F77" s="241"/>
      <c r="G77" s="241"/>
      <c r="H77" s="241"/>
      <c r="I77" s="241"/>
    </row>
    <row r="78" spans="1:9" x14ac:dyDescent="0.2">
      <c r="A78" s="241"/>
      <c r="C78" s="241"/>
      <c r="D78" s="241"/>
      <c r="E78" s="241"/>
      <c r="F78" s="241"/>
      <c r="G78" s="241"/>
      <c r="H78" s="241"/>
      <c r="I78" s="241"/>
    </row>
    <row r="79" spans="1:9" x14ac:dyDescent="0.2">
      <c r="A79" s="241"/>
      <c r="C79" s="241"/>
      <c r="D79" s="241"/>
      <c r="E79" s="241"/>
      <c r="F79" s="241"/>
      <c r="G79" s="241"/>
      <c r="H79" s="241"/>
      <c r="I79" s="241"/>
    </row>
    <row r="80" spans="1:9" x14ac:dyDescent="0.2">
      <c r="A80" s="241"/>
      <c r="C80" s="241"/>
      <c r="D80" s="241"/>
      <c r="E80" s="241"/>
      <c r="F80" s="241"/>
      <c r="G80" s="241"/>
      <c r="H80" s="241"/>
      <c r="I80" s="241"/>
    </row>
    <row r="81" spans="1:9" x14ac:dyDescent="0.2">
      <c r="A81" s="241"/>
      <c r="C81" s="241"/>
      <c r="D81" s="241"/>
      <c r="E81" s="241"/>
      <c r="F81" s="241"/>
      <c r="G81" s="241"/>
      <c r="H81" s="241"/>
      <c r="I81" s="241"/>
    </row>
    <row r="82" spans="1:9" x14ac:dyDescent="0.2">
      <c r="A82" s="241"/>
      <c r="C82" s="241"/>
      <c r="D82" s="241"/>
      <c r="E82" s="241"/>
      <c r="F82" s="241"/>
      <c r="G82" s="241"/>
      <c r="H82" s="241"/>
      <c r="I82" s="241"/>
    </row>
    <row r="83" spans="1:9" x14ac:dyDescent="0.2">
      <c r="A83" s="241"/>
      <c r="C83" s="241"/>
      <c r="D83" s="241"/>
      <c r="E83" s="241"/>
      <c r="F83" s="241"/>
      <c r="G83" s="241"/>
      <c r="H83" s="241"/>
      <c r="I83" s="241"/>
    </row>
    <row r="84" spans="1:9" x14ac:dyDescent="0.2">
      <c r="A84" s="241"/>
      <c r="C84" s="241"/>
      <c r="D84" s="241"/>
      <c r="E84" s="241"/>
      <c r="F84" s="241"/>
      <c r="G84" s="241"/>
      <c r="H84" s="241"/>
      <c r="I84" s="241"/>
    </row>
    <row r="85" spans="1:9" x14ac:dyDescent="0.2">
      <c r="A85" s="241"/>
      <c r="C85" s="241"/>
      <c r="D85" s="241"/>
      <c r="E85" s="241"/>
      <c r="F85" s="241"/>
      <c r="G85" s="241"/>
      <c r="H85" s="241"/>
      <c r="I85" s="241"/>
    </row>
    <row r="86" spans="1:9" x14ac:dyDescent="0.2">
      <c r="A86" s="241"/>
      <c r="C86" s="241"/>
      <c r="D86" s="241"/>
      <c r="E86" s="241"/>
      <c r="F86" s="241"/>
      <c r="G86" s="241"/>
      <c r="H86" s="241"/>
      <c r="I86" s="241"/>
    </row>
    <row r="87" spans="1:9" x14ac:dyDescent="0.2">
      <c r="A87" s="241"/>
      <c r="C87" s="241"/>
      <c r="D87" s="241"/>
      <c r="E87" s="241"/>
      <c r="F87" s="241"/>
      <c r="G87" s="241"/>
      <c r="H87" s="241"/>
      <c r="I87" s="241"/>
    </row>
    <row r="88" spans="1:9" x14ac:dyDescent="0.2">
      <c r="A88" s="241"/>
      <c r="C88" s="241"/>
      <c r="D88" s="241"/>
      <c r="E88" s="241"/>
      <c r="F88" s="241"/>
      <c r="G88" s="241"/>
      <c r="H88" s="241"/>
      <c r="I88" s="241"/>
    </row>
    <row r="89" spans="1:9" x14ac:dyDescent="0.2">
      <c r="A89" s="241"/>
      <c r="C89" s="241"/>
      <c r="D89" s="241"/>
      <c r="E89" s="241"/>
      <c r="F89" s="241"/>
      <c r="G89" s="241"/>
      <c r="H89" s="241"/>
      <c r="I89" s="241"/>
    </row>
    <row r="90" spans="1:9" x14ac:dyDescent="0.2">
      <c r="A90" s="241"/>
      <c r="C90" s="241"/>
      <c r="D90" s="241"/>
      <c r="E90" s="241"/>
      <c r="F90" s="241"/>
      <c r="G90" s="241"/>
      <c r="H90" s="241"/>
      <c r="I90" s="241"/>
    </row>
    <row r="91" spans="1:9" x14ac:dyDescent="0.2">
      <c r="A91" s="241"/>
      <c r="C91" s="241"/>
      <c r="D91" s="241"/>
      <c r="E91" s="241"/>
      <c r="F91" s="241"/>
      <c r="G91" s="241"/>
      <c r="H91" s="241"/>
      <c r="I91" s="241"/>
    </row>
    <row r="92" spans="1:9" x14ac:dyDescent="0.2">
      <c r="A92" s="241"/>
      <c r="C92" s="241"/>
      <c r="D92" s="241"/>
      <c r="E92" s="241"/>
      <c r="F92" s="241"/>
      <c r="G92" s="241"/>
      <c r="H92" s="241"/>
      <c r="I92" s="241"/>
    </row>
    <row r="93" spans="1:9" x14ac:dyDescent="0.2">
      <c r="A93" s="241"/>
      <c r="C93" s="241"/>
      <c r="D93" s="241"/>
      <c r="E93" s="241"/>
      <c r="F93" s="241"/>
      <c r="G93" s="241"/>
      <c r="H93" s="241"/>
      <c r="I93" s="241"/>
    </row>
    <row r="94" spans="1:9" x14ac:dyDescent="0.2">
      <c r="A94" s="241"/>
      <c r="C94" s="241"/>
      <c r="D94" s="241"/>
      <c r="E94" s="241"/>
      <c r="F94" s="241"/>
      <c r="G94" s="241"/>
      <c r="H94" s="241"/>
      <c r="I94" s="241"/>
    </row>
    <row r="95" spans="1:9" x14ac:dyDescent="0.2">
      <c r="A95" s="241"/>
      <c r="C95" s="241"/>
      <c r="D95" s="241"/>
      <c r="E95" s="241"/>
      <c r="F95" s="241"/>
      <c r="G95" s="241"/>
      <c r="H95" s="241"/>
      <c r="I95" s="241"/>
    </row>
    <row r="96" spans="1:9" x14ac:dyDescent="0.2">
      <c r="A96" s="241"/>
      <c r="C96" s="241"/>
      <c r="D96" s="241"/>
      <c r="E96" s="241"/>
      <c r="F96" s="241"/>
      <c r="G96" s="241"/>
      <c r="H96" s="241"/>
      <c r="I96" s="241"/>
    </row>
    <row r="97" spans="1:9" x14ac:dyDescent="0.2">
      <c r="A97" s="241"/>
      <c r="C97" s="241"/>
      <c r="D97" s="241"/>
      <c r="E97" s="241"/>
      <c r="F97" s="241"/>
      <c r="G97" s="241"/>
      <c r="H97" s="241"/>
      <c r="I97" s="241"/>
    </row>
    <row r="98" spans="1:9" x14ac:dyDescent="0.2">
      <c r="A98" s="241"/>
      <c r="C98" s="241"/>
      <c r="D98" s="241"/>
      <c r="E98" s="241"/>
      <c r="F98" s="241"/>
      <c r="G98" s="241"/>
      <c r="H98" s="241"/>
      <c r="I98" s="241"/>
    </row>
    <row r="99" spans="1:9" x14ac:dyDescent="0.2">
      <c r="A99" s="241"/>
      <c r="C99" s="241"/>
      <c r="D99" s="241"/>
      <c r="E99" s="241"/>
      <c r="F99" s="241"/>
      <c r="G99" s="241"/>
      <c r="H99" s="241"/>
      <c r="I99" s="241"/>
    </row>
    <row r="100" spans="1:9" x14ac:dyDescent="0.2">
      <c r="A100" s="241"/>
      <c r="C100" s="241"/>
      <c r="D100" s="241"/>
      <c r="E100" s="241"/>
      <c r="F100" s="241"/>
      <c r="G100" s="241"/>
      <c r="H100" s="241"/>
      <c r="I100" s="241"/>
    </row>
    <row r="101" spans="1:9" x14ac:dyDescent="0.2">
      <c r="A101" s="241"/>
      <c r="C101" s="241"/>
      <c r="D101" s="241"/>
      <c r="E101" s="241"/>
      <c r="F101" s="241"/>
      <c r="G101" s="241"/>
      <c r="H101" s="241"/>
      <c r="I101" s="241"/>
    </row>
    <row r="102" spans="1:9" x14ac:dyDescent="0.2">
      <c r="A102" s="241"/>
      <c r="C102" s="241"/>
      <c r="D102" s="241"/>
      <c r="E102" s="241"/>
      <c r="F102" s="241"/>
      <c r="G102" s="241"/>
      <c r="H102" s="241"/>
      <c r="I102" s="241"/>
    </row>
  </sheetData>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37"/>
  <sheetViews>
    <sheetView workbookViewId="0">
      <selection activeCell="D42" sqref="D42"/>
    </sheetView>
  </sheetViews>
  <sheetFormatPr baseColWidth="10" defaultColWidth="8.83203125" defaultRowHeight="15" x14ac:dyDescent="0.2"/>
  <cols>
    <col min="1" max="1" width="33.33203125" customWidth="1"/>
    <col min="2" max="2" width="19.1640625" customWidth="1"/>
    <col min="3" max="3" width="10.1640625" style="43" bestFit="1" customWidth="1"/>
  </cols>
  <sheetData>
    <row r="3" spans="1:8" x14ac:dyDescent="0.2">
      <c r="A3" s="241" t="s">
        <v>220</v>
      </c>
      <c r="B3" s="241"/>
      <c r="C3" s="241"/>
    </row>
    <row r="4" spans="1:8" x14ac:dyDescent="0.2">
      <c r="A4" s="241" t="s">
        <v>88</v>
      </c>
      <c r="B4" s="241"/>
      <c r="C4" s="241"/>
    </row>
    <row r="5" spans="1:8" x14ac:dyDescent="0.2">
      <c r="A5" s="241" t="s">
        <v>221</v>
      </c>
      <c r="B5" s="241"/>
      <c r="C5" s="241"/>
    </row>
    <row r="6" spans="1:8" x14ac:dyDescent="0.2">
      <c r="A6" s="241" t="s">
        <v>222</v>
      </c>
      <c r="B6" s="241"/>
      <c r="C6" s="241"/>
    </row>
    <row r="7" spans="1:8" x14ac:dyDescent="0.2">
      <c r="A7" s="241"/>
      <c r="B7" s="241"/>
      <c r="C7" s="241"/>
    </row>
    <row r="8" spans="1:8" x14ac:dyDescent="0.2">
      <c r="A8" s="241"/>
      <c r="B8" s="241">
        <v>2017</v>
      </c>
      <c r="C8" s="241"/>
    </row>
    <row r="9" spans="1:8" x14ac:dyDescent="0.2">
      <c r="A9" s="241"/>
      <c r="B9" s="241" t="s">
        <v>223</v>
      </c>
      <c r="C9" s="241"/>
    </row>
    <row r="10" spans="1:8" x14ac:dyDescent="0.2">
      <c r="A10" s="241"/>
      <c r="B10" s="241" t="s">
        <v>224</v>
      </c>
      <c r="C10" s="241"/>
    </row>
    <row r="11" spans="1:8" x14ac:dyDescent="0.2">
      <c r="A11" s="241" t="s">
        <v>225</v>
      </c>
      <c r="B11" s="241" t="s">
        <v>52</v>
      </c>
      <c r="C11" s="241" t="s">
        <v>4</v>
      </c>
      <c r="D11" s="241" t="s">
        <v>53</v>
      </c>
      <c r="E11" s="241" t="s">
        <v>7</v>
      </c>
      <c r="F11" s="241" t="s">
        <v>6</v>
      </c>
      <c r="G11" s="241" t="s">
        <v>62</v>
      </c>
      <c r="H11" t="s">
        <v>235</v>
      </c>
    </row>
    <row r="12" spans="1:8" x14ac:dyDescent="0.2">
      <c r="A12" s="241" t="s">
        <v>226</v>
      </c>
      <c r="B12" s="36">
        <v>39852</v>
      </c>
      <c r="C12" s="36">
        <v>13025</v>
      </c>
      <c r="D12" s="36">
        <v>2139</v>
      </c>
      <c r="E12" s="254">
        <v>5469</v>
      </c>
      <c r="F12" s="36">
        <v>7791</v>
      </c>
      <c r="G12" s="36">
        <v>11429</v>
      </c>
      <c r="H12" s="235">
        <f>G14/(C14+D14)</f>
        <v>0.75367873519950723</v>
      </c>
    </row>
    <row r="13" spans="1:8" x14ac:dyDescent="0.2">
      <c r="A13" s="241" t="s">
        <v>227</v>
      </c>
      <c r="B13" s="36">
        <v>40423</v>
      </c>
      <c r="C13" s="36">
        <v>13025</v>
      </c>
      <c r="D13" s="36">
        <v>2139</v>
      </c>
      <c r="E13" s="36">
        <v>5469</v>
      </c>
      <c r="F13" s="36">
        <v>8363</v>
      </c>
      <c r="G13" s="36">
        <v>11429</v>
      </c>
    </row>
    <row r="14" spans="1:8" x14ac:dyDescent="0.2">
      <c r="A14" s="241" t="s">
        <v>228</v>
      </c>
      <c r="B14" s="36">
        <v>38407</v>
      </c>
      <c r="C14" s="36">
        <v>12472</v>
      </c>
      <c r="D14" s="36">
        <v>2139</v>
      </c>
      <c r="E14" s="256">
        <v>2804</v>
      </c>
      <c r="F14" s="36">
        <v>9980</v>
      </c>
      <c r="G14" s="36">
        <v>11012</v>
      </c>
    </row>
    <row r="15" spans="1:8" x14ac:dyDescent="0.2">
      <c r="A15" s="241"/>
      <c r="B15" s="241"/>
      <c r="C15" s="241"/>
    </row>
    <row r="16" spans="1:8" x14ac:dyDescent="0.2">
      <c r="A16" s="241"/>
      <c r="B16" s="241"/>
      <c r="C16" s="241"/>
    </row>
    <row r="17" spans="1:3" x14ac:dyDescent="0.2">
      <c r="A17" s="241" t="s">
        <v>54</v>
      </c>
      <c r="B17" s="241"/>
      <c r="C17" s="241"/>
    </row>
    <row r="18" spans="1:3" x14ac:dyDescent="0.2">
      <c r="A18" s="241">
        <v>1</v>
      </c>
      <c r="B18" s="241" t="s">
        <v>229</v>
      </c>
      <c r="C18" s="241"/>
    </row>
    <row r="19" spans="1:3" x14ac:dyDescent="0.2">
      <c r="A19" s="241">
        <v>2</v>
      </c>
      <c r="B19" s="241" t="s">
        <v>230</v>
      </c>
      <c r="C19" s="241"/>
    </row>
    <row r="20" spans="1:3" x14ac:dyDescent="0.2">
      <c r="A20" s="241">
        <v>3</v>
      </c>
      <c r="B20" s="241" t="s">
        <v>231</v>
      </c>
      <c r="C20" s="241"/>
    </row>
    <row r="21" spans="1:3" x14ac:dyDescent="0.2">
      <c r="A21" s="241">
        <v>4</v>
      </c>
      <c r="B21" s="241" t="s">
        <v>232</v>
      </c>
      <c r="C21" s="241"/>
    </row>
    <row r="22" spans="1:3" x14ac:dyDescent="0.2">
      <c r="A22" s="241"/>
      <c r="B22" s="241"/>
      <c r="C22" s="241"/>
    </row>
    <row r="23" spans="1:3" x14ac:dyDescent="0.2">
      <c r="A23" s="241" t="s">
        <v>233</v>
      </c>
      <c r="B23" s="241"/>
      <c r="C23" s="241"/>
    </row>
    <row r="24" spans="1:3" x14ac:dyDescent="0.2">
      <c r="A24" s="241" t="s">
        <v>234</v>
      </c>
      <c r="B24" s="241"/>
      <c r="C24" s="241"/>
    </row>
    <row r="27" spans="1:3" x14ac:dyDescent="0.2">
      <c r="A27" s="92" t="s">
        <v>265</v>
      </c>
    </row>
    <row r="28" spans="1:3" x14ac:dyDescent="0.2">
      <c r="A28" s="253" t="s">
        <v>4</v>
      </c>
      <c r="B28" s="244">
        <v>13014</v>
      </c>
    </row>
    <row r="29" spans="1:3" x14ac:dyDescent="0.2">
      <c r="A29" s="253" t="s">
        <v>53</v>
      </c>
      <c r="B29" s="244">
        <v>1980</v>
      </c>
      <c r="C29" s="255">
        <f>B32/(B28+B29)</f>
        <v>0.65492863812191549</v>
      </c>
    </row>
    <row r="30" spans="1:3" x14ac:dyDescent="0.2">
      <c r="A30" s="253" t="s">
        <v>6</v>
      </c>
      <c r="B30">
        <v>8530</v>
      </c>
    </row>
    <row r="31" spans="1:3" x14ac:dyDescent="0.2">
      <c r="A31" s="253" t="s">
        <v>7</v>
      </c>
      <c r="B31">
        <v>3433</v>
      </c>
    </row>
    <row r="32" spans="1:3" x14ac:dyDescent="0.2">
      <c r="A32" s="253" t="s">
        <v>266</v>
      </c>
      <c r="B32">
        <v>9820</v>
      </c>
    </row>
    <row r="33" spans="1:3" x14ac:dyDescent="0.2">
      <c r="A33" s="253" t="s">
        <v>273</v>
      </c>
      <c r="B33">
        <v>36778</v>
      </c>
      <c r="C33" s="255"/>
    </row>
    <row r="34" spans="1:3" x14ac:dyDescent="0.2">
      <c r="A34" s="253"/>
    </row>
    <row r="35" spans="1:3" x14ac:dyDescent="0.2">
      <c r="A35" s="253"/>
    </row>
    <row r="36" spans="1:3" x14ac:dyDescent="0.2">
      <c r="A36" s="253" t="s">
        <v>264</v>
      </c>
    </row>
    <row r="37" spans="1:3" x14ac:dyDescent="0.2">
      <c r="A37" s="25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7"/>
  <sheetViews>
    <sheetView topLeftCell="A25" workbookViewId="0">
      <selection activeCell="D49" sqref="D49"/>
    </sheetView>
  </sheetViews>
  <sheetFormatPr baseColWidth="10" defaultColWidth="8.83203125" defaultRowHeight="15" x14ac:dyDescent="0.2"/>
  <cols>
    <col min="1" max="1" width="36" style="80" customWidth="1"/>
    <col min="2" max="2" width="10.5" style="107" customWidth="1"/>
    <col min="3" max="3" width="14.33203125" style="80" customWidth="1"/>
    <col min="4" max="4" width="10.1640625" style="80" bestFit="1" customWidth="1"/>
    <col min="5" max="16384" width="8.83203125" style="80"/>
  </cols>
  <sheetData>
    <row r="1" spans="1:11" x14ac:dyDescent="0.2">
      <c r="A1" s="301" t="s">
        <v>244</v>
      </c>
      <c r="B1" s="301"/>
    </row>
    <row r="2" spans="1:11" x14ac:dyDescent="0.2">
      <c r="A2" s="81"/>
      <c r="B2" s="97"/>
    </row>
    <row r="3" spans="1:11" x14ac:dyDescent="0.2">
      <c r="A3" s="302" t="s">
        <v>6</v>
      </c>
      <c r="B3" s="303"/>
    </row>
    <row r="4" spans="1:11" x14ac:dyDescent="0.2">
      <c r="A4" s="113" t="s">
        <v>279</v>
      </c>
      <c r="B4" s="98">
        <v>895</v>
      </c>
      <c r="C4" s="109"/>
      <c r="E4" s="92"/>
      <c r="G4" s="92"/>
      <c r="I4" s="92"/>
      <c r="K4" s="92"/>
    </row>
    <row r="5" spans="1:11" x14ac:dyDescent="0.2">
      <c r="A5" s="82" t="s">
        <v>65</v>
      </c>
      <c r="B5" s="261">
        <v>33</v>
      </c>
    </row>
    <row r="6" spans="1:11" x14ac:dyDescent="0.2">
      <c r="A6" s="83" t="s">
        <v>66</v>
      </c>
      <c r="B6" s="99">
        <f>SUM(B4:B5)</f>
        <v>928</v>
      </c>
    </row>
    <row r="7" spans="1:11" x14ac:dyDescent="0.2">
      <c r="A7" s="265"/>
      <c r="B7" s="266"/>
    </row>
    <row r="8" spans="1:11" x14ac:dyDescent="0.2">
      <c r="A8" s="304" t="s">
        <v>187</v>
      </c>
      <c r="B8" s="305"/>
    </row>
    <row r="9" spans="1:11" x14ac:dyDescent="0.2">
      <c r="A9" s="84" t="s">
        <v>67</v>
      </c>
      <c r="B9" s="100">
        <v>16.04</v>
      </c>
    </row>
    <row r="10" spans="1:11" x14ac:dyDescent="0.2">
      <c r="A10" s="82" t="s">
        <v>68</v>
      </c>
      <c r="B10" s="100">
        <f>0.11391*1100</f>
        <v>125.301</v>
      </c>
      <c r="C10" s="92"/>
    </row>
    <row r="11" spans="1:11" x14ac:dyDescent="0.2">
      <c r="A11" s="82" t="s">
        <v>69</v>
      </c>
      <c r="B11" s="100">
        <f>SUM(B9:B10)*0.15</f>
        <v>21.201150000000002</v>
      </c>
    </row>
    <row r="12" spans="1:11" x14ac:dyDescent="0.2">
      <c r="A12" s="82" t="s">
        <v>14</v>
      </c>
      <c r="B12" s="100">
        <f>SUM(B9:B11)</f>
        <v>162.54215000000002</v>
      </c>
    </row>
    <row r="13" spans="1:11" x14ac:dyDescent="0.2">
      <c r="A13" s="113" t="s">
        <v>88</v>
      </c>
      <c r="B13" s="100">
        <f>B12*12</f>
        <v>1950.5058000000004</v>
      </c>
    </row>
    <row r="14" spans="1:11" x14ac:dyDescent="0.2">
      <c r="A14" s="113" t="s">
        <v>274</v>
      </c>
      <c r="B14" s="100">
        <v>600</v>
      </c>
    </row>
    <row r="15" spans="1:11" x14ac:dyDescent="0.2">
      <c r="A15" s="113" t="s">
        <v>275</v>
      </c>
      <c r="B15" s="100">
        <f>SUM(B13:B14)</f>
        <v>2550.5058000000004</v>
      </c>
    </row>
    <row r="16" spans="1:11" x14ac:dyDescent="0.2">
      <c r="A16" s="113" t="s">
        <v>276</v>
      </c>
      <c r="B16" s="100">
        <f>B15/12</f>
        <v>212.54215000000002</v>
      </c>
    </row>
    <row r="17" spans="1:6" x14ac:dyDescent="0.2">
      <c r="A17" s="113"/>
      <c r="B17" s="100"/>
      <c r="C17" s="263"/>
    </row>
    <row r="18" spans="1:6" x14ac:dyDescent="0.2">
      <c r="A18" s="306" t="s">
        <v>270</v>
      </c>
      <c r="B18" s="307"/>
    </row>
    <row r="19" spans="1:6" x14ac:dyDescent="0.2">
      <c r="A19" s="113" t="s">
        <v>79</v>
      </c>
      <c r="B19" s="261">
        <f>(30+(30*15%))*2</f>
        <v>69</v>
      </c>
      <c r="F19" s="90"/>
    </row>
    <row r="20" spans="1:6" x14ac:dyDescent="0.2">
      <c r="A20" s="113" t="s">
        <v>80</v>
      </c>
      <c r="B20" s="261">
        <f>70+(70*15%)</f>
        <v>80.5</v>
      </c>
    </row>
    <row r="21" spans="1:6" x14ac:dyDescent="0.2">
      <c r="A21" s="121" t="s">
        <v>241</v>
      </c>
      <c r="B21" s="262">
        <f>SUM(B19:B20)</f>
        <v>149.5</v>
      </c>
    </row>
    <row r="22" spans="1:6" x14ac:dyDescent="0.2">
      <c r="A22" s="121" t="s">
        <v>88</v>
      </c>
      <c r="B22" s="262">
        <f>B21*12</f>
        <v>1794</v>
      </c>
    </row>
    <row r="23" spans="1:6" x14ac:dyDescent="0.2">
      <c r="A23" s="83"/>
      <c r="B23" s="101"/>
    </row>
    <row r="24" spans="1:6" x14ac:dyDescent="0.2">
      <c r="A24" s="121" t="s">
        <v>53</v>
      </c>
      <c r="B24" s="101"/>
    </row>
    <row r="25" spans="1:6" x14ac:dyDescent="0.2">
      <c r="A25" s="113" t="s">
        <v>269</v>
      </c>
      <c r="B25" s="267">
        <f>MBM!B29*CPI!G12/CPI!C12</f>
        <v>1998.4663212435232</v>
      </c>
    </row>
    <row r="26" spans="1:6" x14ac:dyDescent="0.2">
      <c r="A26" s="121" t="s">
        <v>66</v>
      </c>
      <c r="B26" s="101">
        <f>B25/12</f>
        <v>166.53886010362694</v>
      </c>
    </row>
    <row r="27" spans="1:6" x14ac:dyDescent="0.2">
      <c r="A27" s="268"/>
      <c r="B27" s="264"/>
    </row>
    <row r="28" spans="1:6" x14ac:dyDescent="0.2">
      <c r="A28" s="121" t="s">
        <v>280</v>
      </c>
      <c r="B28" s="83"/>
    </row>
    <row r="29" spans="1:6" x14ac:dyDescent="0.2">
      <c r="A29" s="85" t="s">
        <v>12</v>
      </c>
      <c r="B29" s="102">
        <f>(('Family Expenses'!B25*65%)+(B59*65%))/2</f>
        <v>4956.0062779870705</v>
      </c>
      <c r="C29" s="90"/>
    </row>
    <row r="30" spans="1:6" x14ac:dyDescent="0.2">
      <c r="A30" s="82" t="s">
        <v>13</v>
      </c>
      <c r="B30" s="103">
        <f>B29</f>
        <v>4956.0062779870705</v>
      </c>
    </row>
    <row r="31" spans="1:6" x14ac:dyDescent="0.2">
      <c r="A31" s="121" t="s">
        <v>281</v>
      </c>
      <c r="B31" s="269">
        <f>B30/12</f>
        <v>413.00052316558919</v>
      </c>
    </row>
    <row r="32" spans="1:6" x14ac:dyDescent="0.2">
      <c r="A32" s="82"/>
      <c r="B32" s="270"/>
    </row>
    <row r="33" spans="1:6" x14ac:dyDescent="0.2">
      <c r="A33" s="121" t="s">
        <v>7</v>
      </c>
      <c r="B33" s="83"/>
    </row>
    <row r="34" spans="1:6" x14ac:dyDescent="0.2">
      <c r="A34" s="114" t="s">
        <v>75</v>
      </c>
      <c r="B34" s="104">
        <f>78*12</f>
        <v>936</v>
      </c>
    </row>
    <row r="35" spans="1:6" x14ac:dyDescent="0.2">
      <c r="A35" s="113" t="s">
        <v>236</v>
      </c>
      <c r="B35" s="110">
        <f>MBM!E13*CPI!G14/CPI!F14</f>
        <v>5605.8256070640182</v>
      </c>
      <c r="C35" s="111"/>
      <c r="D35" s="90">
        <f>B35/12</f>
        <v>467.1521339220015</v>
      </c>
    </row>
    <row r="36" spans="1:6" x14ac:dyDescent="0.2">
      <c r="A36" s="113" t="s">
        <v>78</v>
      </c>
      <c r="B36" s="110">
        <f>(15*2)*32</f>
        <v>960</v>
      </c>
      <c r="C36" s="111"/>
    </row>
    <row r="37" spans="1:6" x14ac:dyDescent="0.2">
      <c r="A37" s="83" t="s">
        <v>70</v>
      </c>
      <c r="B37" s="236">
        <f>SUM(B34:B36)</f>
        <v>7501.8256070640182</v>
      </c>
      <c r="C37" s="90"/>
    </row>
    <row r="38" spans="1:6" x14ac:dyDescent="0.2">
      <c r="A38" s="121" t="s">
        <v>66</v>
      </c>
      <c r="B38" s="236">
        <f>B37/12</f>
        <v>625.15213392200155</v>
      </c>
      <c r="C38" s="90"/>
    </row>
    <row r="39" spans="1:6" x14ac:dyDescent="0.2">
      <c r="A39" s="83"/>
      <c r="B39" s="270"/>
    </row>
    <row r="40" spans="1:6" x14ac:dyDescent="0.2">
      <c r="A40" s="83" t="s">
        <v>11</v>
      </c>
      <c r="B40" s="264"/>
      <c r="C40" s="87"/>
      <c r="D40" s="88"/>
      <c r="E40" s="88"/>
      <c r="F40" s="88"/>
    </row>
    <row r="41" spans="1:6" x14ac:dyDescent="0.2">
      <c r="A41" s="113" t="s">
        <v>237</v>
      </c>
      <c r="B41" s="100">
        <v>230</v>
      </c>
      <c r="C41" s="89"/>
    </row>
    <row r="42" spans="1:6" x14ac:dyDescent="0.2">
      <c r="A42" s="82" t="s">
        <v>71</v>
      </c>
      <c r="B42" s="100">
        <v>100</v>
      </c>
      <c r="C42" s="86"/>
    </row>
    <row r="43" spans="1:6" x14ac:dyDescent="0.2">
      <c r="A43" s="113" t="s">
        <v>238</v>
      </c>
      <c r="B43" s="271">
        <v>67</v>
      </c>
      <c r="C43" s="86"/>
    </row>
    <row r="44" spans="1:6" x14ac:dyDescent="0.2">
      <c r="A44" s="83" t="s">
        <v>70</v>
      </c>
      <c r="B44" s="106">
        <f>(B41+B42+B43)*2</f>
        <v>794</v>
      </c>
      <c r="C44" s="86"/>
    </row>
    <row r="45" spans="1:6" x14ac:dyDescent="0.2">
      <c r="A45" s="121" t="s">
        <v>242</v>
      </c>
      <c r="B45" s="106">
        <f>B44/12</f>
        <v>66.166666666666671</v>
      </c>
      <c r="C45" s="86"/>
    </row>
    <row r="46" spans="1:6" x14ac:dyDescent="0.2">
      <c r="A46" s="272"/>
      <c r="B46" s="123"/>
      <c r="C46" s="86"/>
    </row>
    <row r="47" spans="1:6" x14ac:dyDescent="0.2">
      <c r="A47" s="125" t="s">
        <v>8</v>
      </c>
      <c r="B47" s="273"/>
      <c r="C47" s="86"/>
    </row>
    <row r="48" spans="1:6" x14ac:dyDescent="0.2">
      <c r="A48" s="114" t="s">
        <v>74</v>
      </c>
      <c r="B48" s="104">
        <f>726*12</f>
        <v>8712</v>
      </c>
      <c r="C48" s="92"/>
    </row>
    <row r="49" spans="1:9" x14ac:dyDescent="0.2">
      <c r="A49" s="114" t="s">
        <v>239</v>
      </c>
      <c r="B49" s="104">
        <f>((14+18+20)/3)*200</f>
        <v>3466.6666666666665</v>
      </c>
      <c r="C49" s="92"/>
    </row>
    <row r="50" spans="1:9" x14ac:dyDescent="0.2">
      <c r="A50" s="114" t="s">
        <v>218</v>
      </c>
      <c r="B50" s="104">
        <f>156.67*7</f>
        <v>1096.6899999999998</v>
      </c>
    </row>
    <row r="51" spans="1:9" x14ac:dyDescent="0.2">
      <c r="A51" s="114" t="s">
        <v>240</v>
      </c>
      <c r="B51" s="104">
        <f>18*30</f>
        <v>540</v>
      </c>
    </row>
    <row r="52" spans="1:9" x14ac:dyDescent="0.2">
      <c r="A52" s="277" t="s">
        <v>277</v>
      </c>
      <c r="B52" s="104">
        <v>0</v>
      </c>
      <c r="C52" s="90"/>
    </row>
    <row r="53" spans="1:9" x14ac:dyDescent="0.2">
      <c r="A53" s="125" t="s">
        <v>70</v>
      </c>
      <c r="B53" s="108">
        <f>SUM(B48:B52)</f>
        <v>13815.356666666667</v>
      </c>
    </row>
    <row r="54" spans="1:9" x14ac:dyDescent="0.2">
      <c r="A54" s="274" t="s">
        <v>66</v>
      </c>
      <c r="B54" s="108">
        <f>B53/12</f>
        <v>1151.2797222222223</v>
      </c>
    </row>
    <row r="55" spans="1:9" x14ac:dyDescent="0.2">
      <c r="A55" s="275"/>
      <c r="B55" s="275"/>
    </row>
    <row r="56" spans="1:9" x14ac:dyDescent="0.2">
      <c r="A56" s="257" t="s">
        <v>267</v>
      </c>
      <c r="B56" s="258"/>
      <c r="C56" s="92"/>
      <c r="F56" s="299"/>
      <c r="G56" s="300"/>
    </row>
    <row r="57" spans="1:9" x14ac:dyDescent="0.2">
      <c r="A57" s="259" t="s">
        <v>263</v>
      </c>
      <c r="B57" s="260">
        <v>13014</v>
      </c>
      <c r="F57" s="92"/>
      <c r="G57" s="90"/>
    </row>
    <row r="58" spans="1:9" x14ac:dyDescent="0.2">
      <c r="A58" s="259" t="s">
        <v>268</v>
      </c>
      <c r="B58" s="260">
        <f>B59/12</f>
        <v>1104.2319804058782</v>
      </c>
      <c r="C58" s="118"/>
      <c r="D58" s="118"/>
      <c r="F58" s="117"/>
      <c r="G58" s="90"/>
      <c r="H58" s="92"/>
      <c r="I58" s="119"/>
    </row>
    <row r="59" spans="1:9" x14ac:dyDescent="0.2">
      <c r="A59" s="259" t="s">
        <v>278</v>
      </c>
      <c r="B59" s="260">
        <f>(B57)*CPI!G10/CPI!C10</f>
        <v>13250.783764870539</v>
      </c>
      <c r="C59" s="90"/>
      <c r="D59" s="90"/>
      <c r="F59" s="117"/>
      <c r="G59" s="90"/>
    </row>
    <row r="60" spans="1:9" x14ac:dyDescent="0.2">
      <c r="A60" s="259"/>
      <c r="B60" s="260"/>
      <c r="C60" s="90"/>
      <c r="D60" s="90"/>
      <c r="F60" s="117"/>
      <c r="G60" s="90"/>
    </row>
    <row r="61" spans="1:9" x14ac:dyDescent="0.2">
      <c r="A61" s="122" t="s">
        <v>81</v>
      </c>
      <c r="B61" s="123"/>
    </row>
    <row r="62" spans="1:9" x14ac:dyDescent="0.2">
      <c r="A62" s="124" t="s">
        <v>243</v>
      </c>
      <c r="B62" s="105">
        <v>173.05</v>
      </c>
    </row>
    <row r="63" spans="1:9" x14ac:dyDescent="0.2">
      <c r="A63" s="259" t="s">
        <v>70</v>
      </c>
      <c r="B63" s="110">
        <f>B62*12</f>
        <v>2076.6000000000004</v>
      </c>
    </row>
    <row r="67" spans="3:3" x14ac:dyDescent="0.2">
      <c r="C67" s="91"/>
    </row>
  </sheetData>
  <mergeCells count="5">
    <mergeCell ref="F56:G56"/>
    <mergeCell ref="A1:B1"/>
    <mergeCell ref="A3:B3"/>
    <mergeCell ref="A8:B8"/>
    <mergeCell ref="A18:B18"/>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LW 2019 Income</vt:lpstr>
      <vt:lpstr>table 2 calculations</vt:lpstr>
      <vt:lpstr>table 4 calculations</vt:lpstr>
      <vt:lpstr>CPI</vt:lpstr>
      <vt:lpstr>MBM</vt:lpstr>
      <vt:lpstr>Family Expenses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Partridge</dc:creator>
  <cp:lastModifiedBy>Christine Saulnier</cp:lastModifiedBy>
  <cp:revision/>
  <dcterms:created xsi:type="dcterms:W3CDTF">2014-07-08T21:01:56Z</dcterms:created>
  <dcterms:modified xsi:type="dcterms:W3CDTF">2019-05-08T18:03:10Z</dcterms:modified>
</cp:coreProperties>
</file>